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300" windowWidth="19425" windowHeight="7845" tabRatio="674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данные'!$A$6:$HT$9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данные'!$A$6:$HT$9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данные'!$A$1:$G$34</definedName>
  </definedNames>
  <calcPr calcId="145621"/>
</workbook>
</file>

<file path=xl/calcChain.xml><?xml version="1.0" encoding="utf-8"?>
<calcChain xmlns="http://schemas.openxmlformats.org/spreadsheetml/2006/main">
  <c r="R32" i="1" l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Q32" i="1" l="1"/>
  <c r="GN30" i="4" l="1"/>
  <c r="J11" i="1" l="1"/>
  <c r="K11" i="1"/>
  <c r="M11" i="1"/>
  <c r="N11" i="1" s="1"/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M12" i="1" l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L32" i="1"/>
  <c r="I32" i="1"/>
  <c r="GP30" i="4" l="1"/>
  <c r="E30" i="4" l="1"/>
  <c r="D30" i="4"/>
  <c r="F30" i="4" s="1"/>
  <c r="G29" i="4" l="1"/>
  <c r="G28" i="4" l="1"/>
  <c r="G27" i="4" l="1"/>
  <c r="G26" i="4" l="1"/>
  <c r="G25" i="4" l="1"/>
  <c r="G24" i="4" l="1"/>
  <c r="G23" i="4" l="1"/>
  <c r="G22" i="4" l="1"/>
  <c r="G21" i="4" l="1"/>
  <c r="G20" i="4" l="1"/>
  <c r="G19" i="4" l="1"/>
  <c r="G18" i="4" l="1"/>
  <c r="G17" i="4" l="1"/>
  <c r="G16" i="4" l="1"/>
  <c r="G15" i="4" l="1"/>
  <c r="G14" i="4" l="1"/>
  <c r="G13" i="4" l="1"/>
  <c r="G12" i="4" l="1"/>
  <c r="G11" i="4" l="1"/>
  <c r="G10" i="4" l="1"/>
  <c r="G9" i="4" l="1"/>
  <c r="G30" i="4" l="1"/>
  <c r="L29" i="4" l="1"/>
  <c r="L28" i="4"/>
  <c r="L27" i="4"/>
  <c r="L25" i="4"/>
  <c r="L26" i="4"/>
  <c r="L24" i="4"/>
  <c r="L23" i="4"/>
  <c r="L21" i="4"/>
  <c r="L22" i="4"/>
  <c r="L20" i="4"/>
  <c r="L19" i="4"/>
  <c r="L18" i="4"/>
  <c r="L17" i="4"/>
  <c r="L16" i="4"/>
  <c r="L15" i="4"/>
  <c r="L14" i="4"/>
  <c r="L13" i="4"/>
  <c r="L12" i="4"/>
  <c r="L11" i="4"/>
  <c r="L10" i="4"/>
  <c r="L9" i="4"/>
  <c r="B7" i="4"/>
  <c r="B6" i="2"/>
  <c r="L30" i="4" l="1"/>
  <c r="C32" i="1"/>
  <c r="J32" i="1" s="1"/>
  <c r="K32" i="1" s="1"/>
  <c r="C6" i="2" l="1"/>
  <c r="D6" i="2" s="1"/>
  <c r="E6" i="2" s="1"/>
  <c r="F6" i="2" s="1"/>
  <c r="C7" i="4" l="1"/>
  <c r="D7" i="4" s="1"/>
  <c r="E7" i="4" s="1"/>
  <c r="F7" i="4" s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  <c r="T7" i="4" s="1"/>
  <c r="U7" i="4" s="1"/>
  <c r="V7" i="4" s="1"/>
  <c r="W7" i="4" s="1"/>
  <c r="X7" i="4" s="1"/>
  <c r="Y7" i="4" s="1"/>
  <c r="Z7" i="4" s="1"/>
  <c r="AA7" i="4" s="1"/>
  <c r="AB7" i="4" s="1"/>
  <c r="AC7" i="4" s="1"/>
  <c r="AD7" i="4" s="1"/>
  <c r="AE7" i="4" s="1"/>
  <c r="AF7" i="4" s="1"/>
  <c r="AG7" i="4" s="1"/>
  <c r="AH7" i="4" s="1"/>
  <c r="AI7" i="4" s="1"/>
  <c r="AJ7" i="4" s="1"/>
  <c r="AK7" i="4" s="1"/>
  <c r="AL7" i="4" s="1"/>
  <c r="AM7" i="4" s="1"/>
  <c r="AN7" i="4" s="1"/>
  <c r="AO7" i="4" s="1"/>
  <c r="AP7" i="4" s="1"/>
  <c r="AQ7" i="4" s="1"/>
  <c r="AR7" i="4" s="1"/>
  <c r="AS7" i="4" s="1"/>
  <c r="AT7" i="4" s="1"/>
  <c r="AU7" i="4" s="1"/>
  <c r="AV7" i="4" s="1"/>
  <c r="AW7" i="4" s="1"/>
  <c r="AX7" i="4" s="1"/>
  <c r="AY7" i="4" s="1"/>
  <c r="AZ7" i="4" s="1"/>
  <c r="BA7" i="4" s="1"/>
  <c r="BB7" i="4" s="1"/>
  <c r="BC7" i="4" s="1"/>
  <c r="BD7" i="4" s="1"/>
  <c r="BE7" i="4" s="1"/>
  <c r="BF7" i="4" s="1"/>
  <c r="BG7" i="4" s="1"/>
  <c r="BH7" i="4" s="1"/>
  <c r="BI7" i="4" s="1"/>
  <c r="BJ7" i="4" s="1"/>
  <c r="BK7" i="4" s="1"/>
  <c r="BL7" i="4" s="1"/>
  <c r="BM7" i="4" s="1"/>
  <c r="BN7" i="4" s="1"/>
  <c r="BO7" i="4" s="1"/>
  <c r="BP7" i="4" s="1"/>
  <c r="BQ7" i="4" s="1"/>
  <c r="BR7" i="4" s="1"/>
  <c r="BS7" i="4" s="1"/>
  <c r="BT7" i="4" s="1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s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D32" i="1" l="1"/>
  <c r="M32" i="1" s="1"/>
  <c r="N32" i="1" s="1"/>
  <c r="E32" i="1"/>
  <c r="F32" i="1"/>
  <c r="G32" i="1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C7" i="2"/>
  <c r="E7" i="2"/>
  <c r="C8" i="2"/>
  <c r="E8" i="2"/>
  <c r="C9" i="2"/>
  <c r="E9" i="2"/>
  <c r="C10" i="2"/>
  <c r="E10" i="2"/>
  <c r="C11" i="2"/>
  <c r="E11" i="2"/>
  <c r="C12" i="2"/>
  <c r="E12" i="2"/>
  <c r="C13" i="2"/>
  <c r="E13" i="2"/>
  <c r="C14" i="2"/>
  <c r="E14" i="2"/>
  <c r="C15" i="2"/>
  <c r="E15" i="2"/>
  <c r="C16" i="2"/>
  <c r="E16" i="2"/>
  <c r="C17" i="2"/>
  <c r="E17" i="2"/>
  <c r="C18" i="2"/>
  <c r="E18" i="2"/>
  <c r="C19" i="2"/>
  <c r="E19" i="2"/>
  <c r="C20" i="2"/>
  <c r="G20" i="2" s="1"/>
  <c r="E20" i="2"/>
  <c r="C21" i="2"/>
  <c r="E21" i="2"/>
  <c r="C22" i="2"/>
  <c r="G22" i="2" s="1"/>
  <c r="E22" i="2"/>
  <c r="C23" i="2"/>
  <c r="E23" i="2"/>
  <c r="C24" i="2"/>
  <c r="G24" i="2" s="1"/>
  <c r="E24" i="2"/>
  <c r="C25" i="2"/>
  <c r="E25" i="2"/>
  <c r="C26" i="2"/>
  <c r="G26" i="2" s="1"/>
  <c r="E26" i="2"/>
  <c r="C27" i="2"/>
  <c r="E27" i="2"/>
  <c r="G18" i="2" l="1"/>
  <c r="G16" i="2"/>
  <c r="G14" i="2"/>
  <c r="G12" i="2"/>
  <c r="I14" i="4" s="1"/>
  <c r="G10" i="2"/>
  <c r="I12" i="4" s="1"/>
  <c r="G8" i="2"/>
  <c r="I10" i="4" s="1"/>
  <c r="G25" i="2"/>
  <c r="G23" i="2"/>
  <c r="I25" i="4" s="1"/>
  <c r="G21" i="2"/>
  <c r="G19" i="2"/>
  <c r="I21" i="4" s="1"/>
  <c r="G17" i="2"/>
  <c r="G15" i="2"/>
  <c r="I17" i="4" s="1"/>
  <c r="G13" i="2"/>
  <c r="I15" i="4" s="1"/>
  <c r="G11" i="2"/>
  <c r="G9" i="2"/>
  <c r="G7" i="2"/>
  <c r="I9" i="4" s="1"/>
  <c r="G27" i="2"/>
  <c r="I29" i="4" s="1"/>
  <c r="I13" i="4"/>
  <c r="I28" i="4"/>
  <c r="I24" i="4"/>
  <c r="I20" i="4"/>
  <c r="I16" i="4"/>
  <c r="I26" i="4"/>
  <c r="I22" i="4"/>
  <c r="I18" i="4"/>
  <c r="I27" i="4"/>
  <c r="I23" i="4"/>
  <c r="I19" i="4"/>
  <c r="I11" i="4"/>
  <c r="H30" i="4"/>
  <c r="J30" i="4" s="1"/>
  <c r="K9" i="4" l="1"/>
  <c r="M29" i="4"/>
  <c r="K11" i="4"/>
  <c r="K13" i="4"/>
  <c r="M11" i="4"/>
  <c r="M14" i="4"/>
  <c r="M9" i="4"/>
  <c r="K16" i="4"/>
  <c r="M16" i="4"/>
  <c r="M12" i="4"/>
  <c r="K18" i="4"/>
  <c r="K20" i="4"/>
  <c r="M20" i="4"/>
  <c r="K23" i="4"/>
  <c r="K26" i="4"/>
  <c r="M18" i="4"/>
  <c r="M24" i="4"/>
  <c r="K21" i="4"/>
  <c r="M22" i="4"/>
  <c r="K28" i="4"/>
  <c r="M26" i="4"/>
  <c r="M28" i="4"/>
  <c r="M27" i="4"/>
  <c r="M25" i="4"/>
  <c r="M21" i="4"/>
  <c r="M19" i="4"/>
  <c r="M17" i="4"/>
  <c r="M23" i="4"/>
  <c r="K24" i="4"/>
  <c r="M13" i="4"/>
  <c r="K22" i="4"/>
  <c r="M15" i="4"/>
  <c r="N30" i="4" s="1"/>
  <c r="K19" i="4"/>
  <c r="M10" i="4"/>
  <c r="K14" i="4"/>
  <c r="K17" i="4"/>
  <c r="K15" i="4"/>
  <c r="K12" i="4"/>
  <c r="K10" i="4"/>
  <c r="K25" i="4"/>
  <c r="K29" i="4"/>
  <c r="K27" i="4"/>
  <c r="O9" i="4" l="1"/>
  <c r="P9" i="4" s="1"/>
  <c r="O10" i="4"/>
  <c r="P10" i="4" s="1"/>
  <c r="O12" i="4"/>
  <c r="P12" i="4" s="1"/>
  <c r="O13" i="4"/>
  <c r="P13" i="4" s="1"/>
  <c r="O14" i="4"/>
  <c r="P14" i="4" s="1"/>
  <c r="O15" i="4"/>
  <c r="P15" i="4" s="1"/>
  <c r="O16" i="4"/>
  <c r="P16" i="4" s="1"/>
  <c r="O11" i="4"/>
  <c r="P11" i="4" s="1"/>
  <c r="O17" i="4"/>
  <c r="P17" i="4" s="1"/>
  <c r="O19" i="4"/>
  <c r="P19" i="4" s="1"/>
  <c r="O22" i="4"/>
  <c r="P22" i="4" s="1"/>
  <c r="O24" i="4"/>
  <c r="P24" i="4" s="1"/>
  <c r="O18" i="4"/>
  <c r="P18" i="4" s="1"/>
  <c r="O20" i="4"/>
  <c r="P20" i="4" s="1"/>
  <c r="O21" i="4"/>
  <c r="P21" i="4" s="1"/>
  <c r="O23" i="4"/>
  <c r="P23" i="4" s="1"/>
  <c r="O25" i="4"/>
  <c r="P25" i="4" s="1"/>
  <c r="O27" i="4"/>
  <c r="P27" i="4" s="1"/>
  <c r="O29" i="4"/>
  <c r="P29" i="4" s="1"/>
  <c r="O26" i="4"/>
  <c r="P26" i="4" s="1"/>
  <c r="O28" i="4"/>
  <c r="P28" i="4" s="1"/>
  <c r="P30" i="4" l="1"/>
  <c r="Q10" i="4" l="1"/>
  <c r="Q9" i="4"/>
  <c r="Q11" i="4"/>
  <c r="Q13" i="4"/>
  <c r="Q12" i="4"/>
  <c r="Q14" i="4"/>
  <c r="Q16" i="4"/>
  <c r="Q15" i="4"/>
  <c r="Q18" i="4"/>
  <c r="Q20" i="4"/>
  <c r="Q21" i="4"/>
  <c r="Q23" i="4"/>
  <c r="Q17" i="4"/>
  <c r="Q19" i="4"/>
  <c r="Q22" i="4"/>
  <c r="Q24" i="4"/>
  <c r="Q26" i="4"/>
  <c r="Q28" i="4"/>
  <c r="Q29" i="4"/>
  <c r="Q25" i="4"/>
  <c r="Q27" i="4"/>
  <c r="T25" i="4" l="1"/>
  <c r="T23" i="4"/>
  <c r="T15" i="4"/>
  <c r="T13" i="4"/>
  <c r="T29" i="4"/>
  <c r="T22" i="4"/>
  <c r="T21" i="4"/>
  <c r="T16" i="4"/>
  <c r="T11" i="4"/>
  <c r="T24" i="4"/>
  <c r="T28" i="4"/>
  <c r="T19" i="4"/>
  <c r="T20" i="4"/>
  <c r="T14" i="4"/>
  <c r="Q30" i="4"/>
  <c r="R30" i="4" s="1"/>
  <c r="T9" i="4"/>
  <c r="T27" i="4"/>
  <c r="T26" i="4"/>
  <c r="T17" i="4"/>
  <c r="T18" i="4"/>
  <c r="T12" i="4"/>
  <c r="T10" i="4"/>
  <c r="S30" i="4" l="1"/>
  <c r="U9" i="4" l="1"/>
  <c r="V9" i="4" s="1"/>
  <c r="U10" i="4"/>
  <c r="V10" i="4" s="1"/>
  <c r="U12" i="4"/>
  <c r="V12" i="4" s="1"/>
  <c r="U13" i="4"/>
  <c r="V13" i="4" s="1"/>
  <c r="U11" i="4"/>
  <c r="V11" i="4" s="1"/>
  <c r="U15" i="4"/>
  <c r="V15" i="4" s="1"/>
  <c r="U16" i="4"/>
  <c r="V16" i="4" s="1"/>
  <c r="U14" i="4"/>
  <c r="V14" i="4" s="1"/>
  <c r="U17" i="4"/>
  <c r="V17" i="4" s="1"/>
  <c r="U19" i="4"/>
  <c r="V19" i="4" s="1"/>
  <c r="U20" i="4"/>
  <c r="V20" i="4" s="1"/>
  <c r="U22" i="4"/>
  <c r="V22" i="4" s="1"/>
  <c r="U24" i="4"/>
  <c r="V24" i="4" s="1"/>
  <c r="U18" i="4"/>
  <c r="V18" i="4" s="1"/>
  <c r="U21" i="4"/>
  <c r="V21" i="4" s="1"/>
  <c r="U23" i="4"/>
  <c r="V23" i="4" s="1"/>
  <c r="U25" i="4"/>
  <c r="V25" i="4" s="1"/>
  <c r="U27" i="4"/>
  <c r="V27" i="4" s="1"/>
  <c r="U29" i="4"/>
  <c r="V29" i="4" s="1"/>
  <c r="U26" i="4"/>
  <c r="V26" i="4" s="1"/>
  <c r="U28" i="4"/>
  <c r="V28" i="4" s="1"/>
  <c r="V30" i="4" l="1"/>
  <c r="W10" i="4" l="1"/>
  <c r="W12" i="4"/>
  <c r="W18" i="4"/>
  <c r="W22" i="4"/>
  <c r="W26" i="4"/>
  <c r="W27" i="4"/>
  <c r="W9" i="4"/>
  <c r="W14" i="4"/>
  <c r="W20" i="4"/>
  <c r="W24" i="4"/>
  <c r="W28" i="4"/>
  <c r="W11" i="4"/>
  <c r="W16" i="4"/>
  <c r="W21" i="4"/>
  <c r="W17" i="4"/>
  <c r="W13" i="4"/>
  <c r="W15" i="4"/>
  <c r="W23" i="4"/>
  <c r="W19" i="4"/>
  <c r="W25" i="4"/>
  <c r="W29" i="4"/>
  <c r="Z28" i="4" l="1"/>
  <c r="Z25" i="4"/>
  <c r="Z13" i="4"/>
  <c r="Z11" i="4"/>
  <c r="Z14" i="4"/>
  <c r="Z22" i="4"/>
  <c r="Z17" i="4"/>
  <c r="W30" i="4"/>
  <c r="X30" i="4" s="1"/>
  <c r="Z9" i="4"/>
  <c r="Z18" i="4"/>
  <c r="Z23" i="4"/>
  <c r="Z21" i="4"/>
  <c r="Z24" i="4"/>
  <c r="Z27" i="4"/>
  <c r="Z12" i="4"/>
  <c r="Z19" i="4"/>
  <c r="Z29" i="4"/>
  <c r="Z15" i="4"/>
  <c r="Z16" i="4"/>
  <c r="Z20" i="4"/>
  <c r="Z26" i="4"/>
  <c r="Z10" i="4"/>
  <c r="Y30" i="4" l="1"/>
  <c r="AA9" i="4" l="1"/>
  <c r="AB9" i="4" s="1"/>
  <c r="AA10" i="4"/>
  <c r="AB10" i="4" s="1"/>
  <c r="AA12" i="4"/>
  <c r="AB12" i="4" s="1"/>
  <c r="AA13" i="4"/>
  <c r="AB13" i="4" s="1"/>
  <c r="AA11" i="4"/>
  <c r="AB11" i="4" s="1"/>
  <c r="AA15" i="4"/>
  <c r="AB15" i="4" s="1"/>
  <c r="AA14" i="4"/>
  <c r="AB14" i="4" s="1"/>
  <c r="AA17" i="4"/>
  <c r="AB17" i="4" s="1"/>
  <c r="AA19" i="4"/>
  <c r="AB19" i="4" s="1"/>
  <c r="AA22" i="4"/>
  <c r="AB22" i="4" s="1"/>
  <c r="AA24" i="4"/>
  <c r="AB24" i="4" s="1"/>
  <c r="AA20" i="4"/>
  <c r="AB20" i="4" s="1"/>
  <c r="AA21" i="4"/>
  <c r="AB21" i="4" s="1"/>
  <c r="AA23" i="4"/>
  <c r="AB23" i="4" s="1"/>
  <c r="AA16" i="4"/>
  <c r="AB16" i="4" s="1"/>
  <c r="AA18" i="4"/>
  <c r="AB18" i="4" s="1"/>
  <c r="AA25" i="4"/>
  <c r="AB25" i="4" s="1"/>
  <c r="AA27" i="4"/>
  <c r="AB27" i="4" s="1"/>
  <c r="AA29" i="4"/>
  <c r="AB29" i="4" s="1"/>
  <c r="AA26" i="4"/>
  <c r="AB26" i="4" s="1"/>
  <c r="AA28" i="4"/>
  <c r="AB28" i="4" s="1"/>
  <c r="AB30" i="4" l="1"/>
  <c r="AC10" i="4" l="1"/>
  <c r="AC12" i="4"/>
  <c r="AC20" i="4"/>
  <c r="AC21" i="4"/>
  <c r="AC26" i="4"/>
  <c r="AC22" i="4"/>
  <c r="AC9" i="4"/>
  <c r="AC14" i="4"/>
  <c r="AC15" i="4"/>
  <c r="AC23" i="4"/>
  <c r="AC28" i="4"/>
  <c r="AC11" i="4"/>
  <c r="AC16" i="4"/>
  <c r="AC17" i="4"/>
  <c r="AC13" i="4"/>
  <c r="AC18" i="4"/>
  <c r="AC19" i="4"/>
  <c r="AC24" i="4"/>
  <c r="AC27" i="4"/>
  <c r="AC29" i="4"/>
  <c r="AC25" i="4"/>
  <c r="AF18" i="4" l="1"/>
  <c r="AF11" i="4"/>
  <c r="AF14" i="4"/>
  <c r="AF21" i="4"/>
  <c r="AF13" i="4"/>
  <c r="AF28" i="4"/>
  <c r="AC30" i="4"/>
  <c r="AD30" i="4" s="1"/>
  <c r="AF9" i="4"/>
  <c r="AF20" i="4"/>
  <c r="AF29" i="4"/>
  <c r="AF17" i="4"/>
  <c r="AF23" i="4"/>
  <c r="AF22" i="4"/>
  <c r="AF12" i="4"/>
  <c r="AF27" i="4"/>
  <c r="AF24" i="4"/>
  <c r="AF25" i="4"/>
  <c r="AF19" i="4"/>
  <c r="AF16" i="4"/>
  <c r="AF15" i="4"/>
  <c r="AF26" i="4"/>
  <c r="AF10" i="4"/>
  <c r="AE30" i="4" l="1"/>
  <c r="AG9" i="4" l="1"/>
  <c r="AH9" i="4" s="1"/>
  <c r="AG10" i="4"/>
  <c r="AH10" i="4" s="1"/>
  <c r="AG12" i="4"/>
  <c r="AH12" i="4" s="1"/>
  <c r="AG13" i="4"/>
  <c r="AH13" i="4" s="1"/>
  <c r="AG11" i="4"/>
  <c r="AH11" i="4" s="1"/>
  <c r="AG15" i="4"/>
  <c r="AH15" i="4" s="1"/>
  <c r="AG16" i="4"/>
  <c r="AH16" i="4" s="1"/>
  <c r="AG17" i="4"/>
  <c r="AH17" i="4" s="1"/>
  <c r="AG19" i="4"/>
  <c r="AH19" i="4" s="1"/>
  <c r="AG14" i="4"/>
  <c r="AH14" i="4" s="1"/>
  <c r="AG18" i="4"/>
  <c r="AH18" i="4" s="1"/>
  <c r="AG20" i="4"/>
  <c r="AH20" i="4" s="1"/>
  <c r="AG22" i="4"/>
  <c r="AH22" i="4" s="1"/>
  <c r="AG24" i="4"/>
  <c r="AH24" i="4" s="1"/>
  <c r="AG21" i="4"/>
  <c r="AH21" i="4" s="1"/>
  <c r="AG23" i="4"/>
  <c r="AH23" i="4" s="1"/>
  <c r="AG25" i="4"/>
  <c r="AH25" i="4" s="1"/>
  <c r="AG27" i="4"/>
  <c r="AH27" i="4" s="1"/>
  <c r="AG29" i="4"/>
  <c r="AH29" i="4" s="1"/>
  <c r="AG26" i="4"/>
  <c r="AH26" i="4" s="1"/>
  <c r="AG28" i="4"/>
  <c r="AH28" i="4" s="1"/>
  <c r="AH30" i="4" l="1"/>
  <c r="AI9" i="4" l="1"/>
  <c r="AI20" i="4"/>
  <c r="AI11" i="4"/>
  <c r="AI16" i="4"/>
  <c r="AI21" i="4"/>
  <c r="AI22" i="4"/>
  <c r="AI13" i="4"/>
  <c r="AI15" i="4"/>
  <c r="AI23" i="4"/>
  <c r="AI24" i="4"/>
  <c r="AI25" i="4"/>
  <c r="AI10" i="4"/>
  <c r="AI12" i="4"/>
  <c r="AI18" i="4"/>
  <c r="AI17" i="4"/>
  <c r="AI26" i="4"/>
  <c r="AI27" i="4"/>
  <c r="AI14" i="4"/>
  <c r="AI19" i="4"/>
  <c r="AI28" i="4"/>
  <c r="AI29" i="4"/>
  <c r="AL17" i="4" l="1"/>
  <c r="AL14" i="4"/>
  <c r="AL18" i="4"/>
  <c r="AL24" i="4"/>
  <c r="AL22" i="4"/>
  <c r="AL20" i="4"/>
  <c r="AL29" i="4"/>
  <c r="AL27" i="4"/>
  <c r="AL12" i="4"/>
  <c r="AL23" i="4"/>
  <c r="AL21" i="4"/>
  <c r="AI30" i="4"/>
  <c r="AJ30" i="4" s="1"/>
  <c r="AL9" i="4"/>
  <c r="AL28" i="4"/>
  <c r="AL26" i="4"/>
  <c r="AL10" i="4"/>
  <c r="AL15" i="4"/>
  <c r="AL16" i="4"/>
  <c r="AL19" i="4"/>
  <c r="AL25" i="4"/>
  <c r="AL13" i="4"/>
  <c r="AL11" i="4"/>
  <c r="AK30" i="4" l="1"/>
  <c r="AM9" i="4" l="1"/>
  <c r="AN9" i="4" s="1"/>
  <c r="AM10" i="4"/>
  <c r="AN10" i="4" s="1"/>
  <c r="AM12" i="4"/>
  <c r="AN12" i="4" s="1"/>
  <c r="AM13" i="4"/>
  <c r="AN13" i="4" s="1"/>
  <c r="AM11" i="4"/>
  <c r="AN11" i="4" s="1"/>
  <c r="AM15" i="4"/>
  <c r="AN15" i="4" s="1"/>
  <c r="AM14" i="4"/>
  <c r="AN14" i="4" s="1"/>
  <c r="AM16" i="4"/>
  <c r="AN16" i="4" s="1"/>
  <c r="AM17" i="4"/>
  <c r="AN17" i="4" s="1"/>
  <c r="AM19" i="4"/>
  <c r="AN19" i="4" s="1"/>
  <c r="AM22" i="4"/>
  <c r="AN22" i="4" s="1"/>
  <c r="AM24" i="4"/>
  <c r="AN24" i="4" s="1"/>
  <c r="AM18" i="4"/>
  <c r="AN18" i="4" s="1"/>
  <c r="AM20" i="4"/>
  <c r="AN20" i="4" s="1"/>
  <c r="AM21" i="4"/>
  <c r="AN21" i="4" s="1"/>
  <c r="AM23" i="4"/>
  <c r="AN23" i="4" s="1"/>
  <c r="AM25" i="4"/>
  <c r="AN25" i="4" s="1"/>
  <c r="AM27" i="4"/>
  <c r="AN27" i="4" s="1"/>
  <c r="AM29" i="4"/>
  <c r="AN29" i="4" s="1"/>
  <c r="AM26" i="4"/>
  <c r="AN26" i="4" s="1"/>
  <c r="AM28" i="4"/>
  <c r="AN28" i="4" s="1"/>
  <c r="AN30" i="4" l="1"/>
  <c r="AO9" i="4" l="1"/>
  <c r="AO28" i="4"/>
  <c r="AO11" i="4"/>
  <c r="AO16" i="4"/>
  <c r="AO21" i="4"/>
  <c r="AO22" i="4"/>
  <c r="AO29" i="4"/>
  <c r="AO13" i="4"/>
  <c r="AO15" i="4"/>
  <c r="AO23" i="4"/>
  <c r="AO24" i="4"/>
  <c r="AO10" i="4"/>
  <c r="AO12" i="4"/>
  <c r="AO18" i="4"/>
  <c r="AO17" i="4"/>
  <c r="AO26" i="4"/>
  <c r="AO25" i="4"/>
  <c r="AO14" i="4"/>
  <c r="AO20" i="4"/>
  <c r="AO19" i="4"/>
  <c r="AO27" i="4"/>
  <c r="AR17" i="4" l="1"/>
  <c r="AR24" i="4"/>
  <c r="AR29" i="4"/>
  <c r="AR14" i="4"/>
  <c r="AR23" i="4"/>
  <c r="AR22" i="4"/>
  <c r="AR27" i="4"/>
  <c r="AR25" i="4"/>
  <c r="AR12" i="4"/>
  <c r="AR15" i="4"/>
  <c r="AR21" i="4"/>
  <c r="AO30" i="4"/>
  <c r="AP30" i="4" s="1"/>
  <c r="AR9" i="4"/>
  <c r="AR19" i="4"/>
  <c r="AR26" i="4"/>
  <c r="AR10" i="4"/>
  <c r="AR13" i="4"/>
  <c r="AR16" i="4"/>
  <c r="AR11" i="4"/>
  <c r="AR20" i="4"/>
  <c r="AR18" i="4"/>
  <c r="AR28" i="4"/>
  <c r="AQ30" i="4" l="1"/>
  <c r="AS9" i="4" l="1"/>
  <c r="AT9" i="4" s="1"/>
  <c r="AS10" i="4"/>
  <c r="AT10" i="4" s="1"/>
  <c r="AS12" i="4"/>
  <c r="AT12" i="4" s="1"/>
  <c r="AS13" i="4"/>
  <c r="AT13" i="4" s="1"/>
  <c r="AS11" i="4"/>
  <c r="AT11" i="4" s="1"/>
  <c r="AS15" i="4"/>
  <c r="AT15" i="4" s="1"/>
  <c r="AS16" i="4"/>
  <c r="AT16" i="4" s="1"/>
  <c r="AS14" i="4"/>
  <c r="AT14" i="4" s="1"/>
  <c r="AS17" i="4"/>
  <c r="AT17" i="4" s="1"/>
  <c r="AS19" i="4"/>
  <c r="AT19" i="4" s="1"/>
  <c r="AS20" i="4"/>
  <c r="AT20" i="4" s="1"/>
  <c r="AS22" i="4"/>
  <c r="AT22" i="4" s="1"/>
  <c r="AS24" i="4"/>
  <c r="AT24" i="4" s="1"/>
  <c r="AS18" i="4"/>
  <c r="AT18" i="4" s="1"/>
  <c r="AS21" i="4"/>
  <c r="AT21" i="4" s="1"/>
  <c r="AS23" i="4"/>
  <c r="AT23" i="4" s="1"/>
  <c r="AS25" i="4"/>
  <c r="AT25" i="4" s="1"/>
  <c r="AS27" i="4"/>
  <c r="AT27" i="4" s="1"/>
  <c r="AS29" i="4"/>
  <c r="AT29" i="4" s="1"/>
  <c r="AS26" i="4"/>
  <c r="AT26" i="4" s="1"/>
  <c r="AS28" i="4"/>
  <c r="AT28" i="4" s="1"/>
  <c r="AT30" i="4" l="1"/>
  <c r="AU10" i="4" l="1"/>
  <c r="AU12" i="4"/>
  <c r="AU18" i="4"/>
  <c r="AU22" i="4"/>
  <c r="AU26" i="4"/>
  <c r="AU27" i="4"/>
  <c r="AU9" i="4"/>
  <c r="AU14" i="4"/>
  <c r="AU20" i="4"/>
  <c r="AU24" i="4"/>
  <c r="AU28" i="4"/>
  <c r="AU29" i="4"/>
  <c r="AU13" i="4"/>
  <c r="AU15" i="4"/>
  <c r="AU23" i="4"/>
  <c r="AU19" i="4"/>
  <c r="AU25" i="4"/>
  <c r="AU11" i="4"/>
  <c r="AU16" i="4"/>
  <c r="AU21" i="4"/>
  <c r="AU17" i="4"/>
  <c r="AU30" i="4" l="1"/>
  <c r="AV30" i="4" s="1"/>
  <c r="AX9" i="4"/>
  <c r="AX17" i="4"/>
  <c r="AX13" i="4"/>
  <c r="AX21" i="4"/>
  <c r="AX19" i="4"/>
  <c r="AX29" i="4"/>
  <c r="AX14" i="4"/>
  <c r="AX22" i="4"/>
  <c r="AX28" i="4"/>
  <c r="AX18" i="4"/>
  <c r="AX23" i="4"/>
  <c r="AX11" i="4"/>
  <c r="AX15" i="4"/>
  <c r="AX24" i="4"/>
  <c r="AX27" i="4"/>
  <c r="AX12" i="4"/>
  <c r="AX16" i="4"/>
  <c r="AX25" i="4"/>
  <c r="AX20" i="4"/>
  <c r="AX26" i="4"/>
  <c r="AX10" i="4"/>
  <c r="AW30" i="4" l="1"/>
  <c r="AY9" i="4" l="1"/>
  <c r="AZ9" i="4" s="1"/>
  <c r="AY10" i="4"/>
  <c r="AZ10" i="4" s="1"/>
  <c r="AY12" i="4"/>
  <c r="AZ12" i="4" s="1"/>
  <c r="AY11" i="4"/>
  <c r="AZ11" i="4" s="1"/>
  <c r="AY13" i="4"/>
  <c r="AZ13" i="4" s="1"/>
  <c r="AY15" i="4"/>
  <c r="AZ15" i="4" s="1"/>
  <c r="AY14" i="4"/>
  <c r="AZ14" i="4" s="1"/>
  <c r="AY17" i="4"/>
  <c r="AZ17" i="4" s="1"/>
  <c r="AY19" i="4"/>
  <c r="AZ19" i="4" s="1"/>
  <c r="AY22" i="4"/>
  <c r="AZ22" i="4" s="1"/>
  <c r="AY24" i="4"/>
  <c r="AZ24" i="4" s="1"/>
  <c r="AY16" i="4"/>
  <c r="AZ16" i="4" s="1"/>
  <c r="AY20" i="4"/>
  <c r="AZ20" i="4" s="1"/>
  <c r="AY21" i="4"/>
  <c r="AZ21" i="4" s="1"/>
  <c r="AY23" i="4"/>
  <c r="AZ23" i="4" s="1"/>
  <c r="AY18" i="4"/>
  <c r="AZ18" i="4" s="1"/>
  <c r="AY25" i="4"/>
  <c r="AZ25" i="4" s="1"/>
  <c r="AY27" i="4"/>
  <c r="AZ27" i="4" s="1"/>
  <c r="AY29" i="4"/>
  <c r="AZ29" i="4" s="1"/>
  <c r="AY26" i="4"/>
  <c r="AZ26" i="4" s="1"/>
  <c r="AY28" i="4"/>
  <c r="AZ28" i="4" s="1"/>
  <c r="AZ30" i="4" l="1"/>
  <c r="BA10" i="4" l="1"/>
  <c r="BA12" i="4"/>
  <c r="BA20" i="4"/>
  <c r="BA23" i="4"/>
  <c r="BA26" i="4"/>
  <c r="BA9" i="4"/>
  <c r="BA14" i="4"/>
  <c r="BA17" i="4"/>
  <c r="BA15" i="4"/>
  <c r="BA29" i="4"/>
  <c r="BA11" i="4"/>
  <c r="BA16" i="4"/>
  <c r="BA19" i="4"/>
  <c r="BA22" i="4"/>
  <c r="BA25" i="4"/>
  <c r="BA13" i="4"/>
  <c r="BA18" i="4"/>
  <c r="BA21" i="4"/>
  <c r="BA24" i="4"/>
  <c r="BA27" i="4"/>
  <c r="BA28" i="4"/>
  <c r="BD25" i="4" l="1"/>
  <c r="BD27" i="4"/>
  <c r="BD13" i="4"/>
  <c r="BD16" i="4"/>
  <c r="BD17" i="4"/>
  <c r="BD23" i="4"/>
  <c r="BD24" i="4"/>
  <c r="BD14" i="4"/>
  <c r="BD20" i="4"/>
  <c r="BD21" i="4"/>
  <c r="BD22" i="4"/>
  <c r="BD29" i="4"/>
  <c r="BA30" i="4"/>
  <c r="BB30" i="4" s="1"/>
  <c r="BD9" i="4"/>
  <c r="BD12" i="4"/>
  <c r="BD11" i="4"/>
  <c r="BD28" i="4"/>
  <c r="BD18" i="4"/>
  <c r="BD19" i="4"/>
  <c r="BD15" i="4"/>
  <c r="BD26" i="4"/>
  <c r="BD10" i="4"/>
  <c r="BC30" i="4" l="1"/>
  <c r="BE9" i="4" l="1"/>
  <c r="BF9" i="4" s="1"/>
  <c r="BE10" i="4"/>
  <c r="BF10" i="4" s="1"/>
  <c r="BE12" i="4"/>
  <c r="BF12" i="4" s="1"/>
  <c r="BE13" i="4"/>
  <c r="BF13" i="4" s="1"/>
  <c r="BE15" i="4"/>
  <c r="BF15" i="4" s="1"/>
  <c r="BE16" i="4"/>
  <c r="BF16" i="4" s="1"/>
  <c r="BE11" i="4"/>
  <c r="BF11" i="4" s="1"/>
  <c r="BE17" i="4"/>
  <c r="BF17" i="4" s="1"/>
  <c r="BE19" i="4"/>
  <c r="BF19" i="4" s="1"/>
  <c r="BE18" i="4"/>
  <c r="BF18" i="4" s="1"/>
  <c r="BE20" i="4"/>
  <c r="BF20" i="4" s="1"/>
  <c r="BE22" i="4"/>
  <c r="BF22" i="4" s="1"/>
  <c r="BE24" i="4"/>
  <c r="BF24" i="4" s="1"/>
  <c r="BE14" i="4"/>
  <c r="BF14" i="4" s="1"/>
  <c r="BE21" i="4"/>
  <c r="BF21" i="4" s="1"/>
  <c r="BE23" i="4"/>
  <c r="BF23" i="4" s="1"/>
  <c r="BE25" i="4"/>
  <c r="BF25" i="4" s="1"/>
  <c r="BE27" i="4"/>
  <c r="BF27" i="4" s="1"/>
  <c r="BE29" i="4"/>
  <c r="BF29" i="4" s="1"/>
  <c r="BE26" i="4"/>
  <c r="BF26" i="4" s="1"/>
  <c r="BE28" i="4"/>
  <c r="BF28" i="4" s="1"/>
  <c r="BF30" i="4" l="1"/>
  <c r="BG10" i="4" l="1"/>
  <c r="BG12" i="4"/>
  <c r="BG18" i="4"/>
  <c r="BG17" i="4"/>
  <c r="BG26" i="4"/>
  <c r="BG27" i="4"/>
  <c r="BG28" i="4"/>
  <c r="BG9" i="4"/>
  <c r="BG14" i="4"/>
  <c r="BG20" i="4"/>
  <c r="BG19" i="4"/>
  <c r="BG11" i="4"/>
  <c r="BG16" i="4"/>
  <c r="BG21" i="4"/>
  <c r="BG22" i="4"/>
  <c r="BG13" i="4"/>
  <c r="BG15" i="4"/>
  <c r="BG23" i="4"/>
  <c r="BG24" i="4"/>
  <c r="BG25" i="4"/>
  <c r="BG29" i="4"/>
  <c r="BJ25" i="4" l="1"/>
  <c r="BJ13" i="4"/>
  <c r="BJ11" i="4"/>
  <c r="BG30" i="4"/>
  <c r="BH30" i="4" s="1"/>
  <c r="BJ9" i="4"/>
  <c r="BJ17" i="4"/>
  <c r="BJ22" i="4"/>
  <c r="BJ19" i="4"/>
  <c r="BJ28" i="4"/>
  <c r="BJ18" i="4"/>
  <c r="BJ23" i="4"/>
  <c r="BJ21" i="4"/>
  <c r="BJ20" i="4"/>
  <c r="BJ27" i="4"/>
  <c r="BJ12" i="4"/>
  <c r="BJ24" i="4"/>
  <c r="BJ29" i="4"/>
  <c r="BJ15" i="4"/>
  <c r="BJ16" i="4"/>
  <c r="BJ14" i="4"/>
  <c r="BJ26" i="4"/>
  <c r="BJ10" i="4"/>
  <c r="BI30" i="4" l="1"/>
  <c r="BK9" i="4" l="1"/>
  <c r="BL9" i="4" s="1"/>
  <c r="BK10" i="4"/>
  <c r="BL10" i="4" s="1"/>
  <c r="BK11" i="4"/>
  <c r="BL11" i="4" s="1"/>
  <c r="BK12" i="4"/>
  <c r="BL12" i="4" s="1"/>
  <c r="BK13" i="4"/>
  <c r="BL13" i="4" s="1"/>
  <c r="BK15" i="4"/>
  <c r="BL15" i="4" s="1"/>
  <c r="BK14" i="4"/>
  <c r="BL14" i="4" s="1"/>
  <c r="BK16" i="4"/>
  <c r="BL16" i="4" s="1"/>
  <c r="BK17" i="4"/>
  <c r="BL17" i="4" s="1"/>
  <c r="BK19" i="4"/>
  <c r="BL19" i="4" s="1"/>
  <c r="BK22" i="4"/>
  <c r="BL22" i="4" s="1"/>
  <c r="BK24" i="4"/>
  <c r="BL24" i="4" s="1"/>
  <c r="BK18" i="4"/>
  <c r="BL18" i="4" s="1"/>
  <c r="BK20" i="4"/>
  <c r="BL20" i="4" s="1"/>
  <c r="BK21" i="4"/>
  <c r="BL21" i="4" s="1"/>
  <c r="BK23" i="4"/>
  <c r="BL23" i="4" s="1"/>
  <c r="BK25" i="4"/>
  <c r="BL25" i="4" s="1"/>
  <c r="BK27" i="4"/>
  <c r="BL27" i="4" s="1"/>
  <c r="BK29" i="4"/>
  <c r="BL29" i="4" s="1"/>
  <c r="BK26" i="4"/>
  <c r="BL26" i="4" s="1"/>
  <c r="BK28" i="4"/>
  <c r="BL28" i="4" s="1"/>
  <c r="BL30" i="4" l="1"/>
  <c r="BM10" i="4" l="1"/>
  <c r="BM12" i="4"/>
  <c r="BM18" i="4"/>
  <c r="BM17" i="4"/>
  <c r="BM25" i="4"/>
  <c r="BM29" i="4"/>
  <c r="BM9" i="4"/>
  <c r="BM14" i="4"/>
  <c r="BM20" i="4"/>
  <c r="BM28" i="4"/>
  <c r="BM22" i="4"/>
  <c r="BM11" i="4"/>
  <c r="BM21" i="4"/>
  <c r="BM13" i="4"/>
  <c r="BM15" i="4"/>
  <c r="BM23" i="4"/>
  <c r="BM24" i="4"/>
  <c r="BM26" i="4"/>
  <c r="BM19" i="4"/>
  <c r="BM27" i="4"/>
  <c r="BM16" i="4"/>
  <c r="BP27" i="4" l="1"/>
  <c r="BP23" i="4"/>
  <c r="BP11" i="4"/>
  <c r="BP14" i="4"/>
  <c r="BP17" i="4"/>
  <c r="BP15" i="4"/>
  <c r="BP22" i="4"/>
  <c r="BM30" i="4"/>
  <c r="BN30" i="4" s="1"/>
  <c r="BP9" i="4"/>
  <c r="BP18" i="4"/>
  <c r="BP26" i="4"/>
  <c r="BP13" i="4"/>
  <c r="BP28" i="4"/>
  <c r="BP29" i="4"/>
  <c r="BP12" i="4"/>
  <c r="BP19" i="4"/>
  <c r="BP16" i="4"/>
  <c r="BP24" i="4"/>
  <c r="BP21" i="4"/>
  <c r="BP20" i="4"/>
  <c r="BP25" i="4"/>
  <c r="BP10" i="4"/>
  <c r="BO30" i="4" l="1"/>
  <c r="BQ9" i="4" l="1"/>
  <c r="BR9" i="4" s="1"/>
  <c r="BQ10" i="4"/>
  <c r="BR10" i="4" s="1"/>
  <c r="BQ12" i="4"/>
  <c r="BR12" i="4" s="1"/>
  <c r="BQ13" i="4"/>
  <c r="BR13" i="4" s="1"/>
  <c r="BQ11" i="4"/>
  <c r="BR11" i="4" s="1"/>
  <c r="BQ15" i="4"/>
  <c r="BR15" i="4" s="1"/>
  <c r="BQ16" i="4"/>
  <c r="BR16" i="4" s="1"/>
  <c r="BQ14" i="4"/>
  <c r="BR14" i="4" s="1"/>
  <c r="BQ17" i="4"/>
  <c r="BR17" i="4" s="1"/>
  <c r="BQ19" i="4"/>
  <c r="BR19" i="4" s="1"/>
  <c r="BQ20" i="4"/>
  <c r="BR20" i="4" s="1"/>
  <c r="BQ22" i="4"/>
  <c r="BR22" i="4" s="1"/>
  <c r="BQ24" i="4"/>
  <c r="BR24" i="4" s="1"/>
  <c r="BQ18" i="4"/>
  <c r="BR18" i="4" s="1"/>
  <c r="BQ21" i="4"/>
  <c r="BR21" i="4" s="1"/>
  <c r="BQ23" i="4"/>
  <c r="BR23" i="4" s="1"/>
  <c r="BQ25" i="4"/>
  <c r="BR25" i="4" s="1"/>
  <c r="BQ27" i="4"/>
  <c r="BR27" i="4" s="1"/>
  <c r="BQ29" i="4"/>
  <c r="BR29" i="4" s="1"/>
  <c r="BQ26" i="4"/>
  <c r="BR26" i="4" s="1"/>
  <c r="BQ28" i="4"/>
  <c r="BR28" i="4" s="1"/>
  <c r="BR30" i="4" l="1"/>
  <c r="BS10" i="4" l="1"/>
  <c r="BS12" i="4"/>
  <c r="BS18" i="4"/>
  <c r="BS22" i="4"/>
  <c r="BS26" i="4"/>
  <c r="BS27" i="4"/>
  <c r="BS9" i="4"/>
  <c r="BS14" i="4"/>
  <c r="BS20" i="4"/>
  <c r="BS24" i="4"/>
  <c r="BS29" i="4"/>
  <c r="BS11" i="4"/>
  <c r="BS16" i="4"/>
  <c r="BS21" i="4"/>
  <c r="BS17" i="4"/>
  <c r="BS13" i="4"/>
  <c r="BS15" i="4"/>
  <c r="BS23" i="4"/>
  <c r="BS19" i="4"/>
  <c r="BS25" i="4"/>
  <c r="BS28" i="4"/>
  <c r="BV25" i="4" l="1"/>
  <c r="BV13" i="4"/>
  <c r="BV11" i="4"/>
  <c r="BV14" i="4"/>
  <c r="BV22" i="4"/>
  <c r="BV29" i="4"/>
  <c r="BS30" i="4"/>
  <c r="BT30" i="4" s="1"/>
  <c r="BV9" i="4"/>
  <c r="BV18" i="4"/>
  <c r="BV19" i="4"/>
  <c r="BV23" i="4"/>
  <c r="BV21" i="4"/>
  <c r="BV24" i="4"/>
  <c r="BV27" i="4"/>
  <c r="BV12" i="4"/>
  <c r="BV17" i="4"/>
  <c r="BV28" i="4"/>
  <c r="BV15" i="4"/>
  <c r="BV16" i="4"/>
  <c r="BV20" i="4"/>
  <c r="BV26" i="4"/>
  <c r="BV10" i="4"/>
  <c r="BU30" i="4" l="1"/>
  <c r="BW9" i="4" l="1"/>
  <c r="BX9" i="4" s="1"/>
  <c r="BW10" i="4"/>
  <c r="BX10" i="4" s="1"/>
  <c r="BW12" i="4"/>
  <c r="BX12" i="4" s="1"/>
  <c r="BW11" i="4"/>
  <c r="BX11" i="4" s="1"/>
  <c r="BW13" i="4"/>
  <c r="BX13" i="4" s="1"/>
  <c r="BW15" i="4"/>
  <c r="BX15" i="4" s="1"/>
  <c r="BW14" i="4"/>
  <c r="BX14" i="4" s="1"/>
  <c r="BW17" i="4"/>
  <c r="BX17" i="4" s="1"/>
  <c r="BW19" i="4"/>
  <c r="BX19" i="4" s="1"/>
  <c r="BW22" i="4"/>
  <c r="BX22" i="4" s="1"/>
  <c r="BW24" i="4"/>
  <c r="BX24" i="4" s="1"/>
  <c r="BW16" i="4"/>
  <c r="BX16" i="4" s="1"/>
  <c r="BW21" i="4"/>
  <c r="BX21" i="4" s="1"/>
  <c r="BW23" i="4"/>
  <c r="BX23" i="4" s="1"/>
  <c r="BW18" i="4"/>
  <c r="BX18" i="4" s="1"/>
  <c r="BW20" i="4"/>
  <c r="BX20" i="4" s="1"/>
  <c r="BW25" i="4"/>
  <c r="BX25" i="4" s="1"/>
  <c r="BW27" i="4"/>
  <c r="BX27" i="4" s="1"/>
  <c r="BW29" i="4"/>
  <c r="BX29" i="4" s="1"/>
  <c r="BW26" i="4"/>
  <c r="BX26" i="4" s="1"/>
  <c r="BW28" i="4"/>
  <c r="BX28" i="4" s="1"/>
  <c r="BX30" i="4" l="1"/>
  <c r="BY10" i="4" l="1"/>
  <c r="BY12" i="4"/>
  <c r="BY20" i="4"/>
  <c r="BY23" i="4"/>
  <c r="BY26" i="4"/>
  <c r="BY9" i="4"/>
  <c r="BY14" i="4"/>
  <c r="BY17" i="4"/>
  <c r="BY15" i="4"/>
  <c r="BY28" i="4"/>
  <c r="BY11" i="4"/>
  <c r="BY16" i="4"/>
  <c r="BY19" i="4"/>
  <c r="BY22" i="4"/>
  <c r="BY25" i="4"/>
  <c r="BY13" i="4"/>
  <c r="BY18" i="4"/>
  <c r="BY21" i="4"/>
  <c r="BY24" i="4"/>
  <c r="BY27" i="4"/>
  <c r="BY29" i="4"/>
  <c r="CB27" i="4" l="1"/>
  <c r="CB13" i="4"/>
  <c r="CB16" i="4"/>
  <c r="CB17" i="4"/>
  <c r="CB23" i="4"/>
  <c r="CB24" i="4"/>
  <c r="CB11" i="4"/>
  <c r="CB14" i="4"/>
  <c r="CB20" i="4"/>
  <c r="CB25" i="4"/>
  <c r="CB21" i="4"/>
  <c r="CB22" i="4"/>
  <c r="CB28" i="4"/>
  <c r="BY30" i="4"/>
  <c r="BZ30" i="4" s="1"/>
  <c r="CB9" i="4"/>
  <c r="CB12" i="4"/>
  <c r="CB29" i="4"/>
  <c r="CB18" i="4"/>
  <c r="CB19" i="4"/>
  <c r="CB15" i="4"/>
  <c r="CB26" i="4"/>
  <c r="CB10" i="4"/>
  <c r="CA30" i="4" l="1"/>
  <c r="CC9" i="4" l="1"/>
  <c r="CD9" i="4" s="1"/>
  <c r="CC10" i="4"/>
  <c r="CD10" i="4" s="1"/>
  <c r="CC12" i="4"/>
  <c r="CD12" i="4" s="1"/>
  <c r="CC13" i="4"/>
  <c r="CD13" i="4" s="1"/>
  <c r="CC11" i="4"/>
  <c r="CD11" i="4" s="1"/>
  <c r="CC15" i="4"/>
  <c r="CD15" i="4" s="1"/>
  <c r="CC16" i="4"/>
  <c r="CD16" i="4" s="1"/>
  <c r="CC17" i="4"/>
  <c r="CD17" i="4" s="1"/>
  <c r="CC19" i="4"/>
  <c r="CD19" i="4" s="1"/>
  <c r="CC18" i="4"/>
  <c r="CD18" i="4" s="1"/>
  <c r="CC22" i="4"/>
  <c r="CD22" i="4" s="1"/>
  <c r="CC24" i="4"/>
  <c r="CD24" i="4" s="1"/>
  <c r="CC14" i="4"/>
  <c r="CD14" i="4" s="1"/>
  <c r="CC20" i="4"/>
  <c r="CD20" i="4" s="1"/>
  <c r="CC21" i="4"/>
  <c r="CD21" i="4" s="1"/>
  <c r="CC23" i="4"/>
  <c r="CD23" i="4" s="1"/>
  <c r="CC25" i="4"/>
  <c r="CD25" i="4" s="1"/>
  <c r="CC27" i="4"/>
  <c r="CD27" i="4" s="1"/>
  <c r="CC29" i="4"/>
  <c r="CD29" i="4" s="1"/>
  <c r="CC26" i="4"/>
  <c r="CD26" i="4" s="1"/>
  <c r="CC28" i="4"/>
  <c r="CD28" i="4" s="1"/>
  <c r="CD30" i="4" l="1"/>
  <c r="CE10" i="4" l="1"/>
  <c r="CE12" i="4"/>
  <c r="CE18" i="4"/>
  <c r="CE17" i="4"/>
  <c r="CE26" i="4"/>
  <c r="CE29" i="4"/>
  <c r="CE9" i="4"/>
  <c r="CE14" i="4"/>
  <c r="CE20" i="4"/>
  <c r="CE19" i="4"/>
  <c r="CE11" i="4"/>
  <c r="CE16" i="4"/>
  <c r="CE21" i="4"/>
  <c r="CE22" i="4"/>
  <c r="CE13" i="4"/>
  <c r="CE15" i="4"/>
  <c r="CE23" i="4"/>
  <c r="CE24" i="4"/>
  <c r="CE25" i="4"/>
  <c r="CE27" i="4"/>
  <c r="CE28" i="4"/>
  <c r="CH27" i="4" l="1"/>
  <c r="CH15" i="4"/>
  <c r="CH16" i="4"/>
  <c r="CH14" i="4"/>
  <c r="CH17" i="4"/>
  <c r="CH13" i="4"/>
  <c r="CH11" i="4"/>
  <c r="CE30" i="4"/>
  <c r="CF30" i="4" s="1"/>
  <c r="CH9" i="4"/>
  <c r="CH18" i="4"/>
  <c r="CH25" i="4"/>
  <c r="CH24" i="4"/>
  <c r="CH22" i="4"/>
  <c r="CH19" i="4"/>
  <c r="CH29" i="4"/>
  <c r="CH12" i="4"/>
  <c r="CH28" i="4"/>
  <c r="CH23" i="4"/>
  <c r="CH21" i="4"/>
  <c r="CH20" i="4"/>
  <c r="CH26" i="4"/>
  <c r="CH10" i="4"/>
  <c r="CG30" i="4" l="1"/>
  <c r="CI9" i="4" l="1"/>
  <c r="CJ9" i="4" s="1"/>
  <c r="CI10" i="4"/>
  <c r="CJ10" i="4" s="1"/>
  <c r="CI11" i="4"/>
  <c r="CJ11" i="4" s="1"/>
  <c r="CI12" i="4"/>
  <c r="CJ12" i="4" s="1"/>
  <c r="CI13" i="4"/>
  <c r="CJ13" i="4" s="1"/>
  <c r="CI15" i="4"/>
  <c r="CJ15" i="4" s="1"/>
  <c r="CI14" i="4"/>
  <c r="CJ14" i="4" s="1"/>
  <c r="CI16" i="4"/>
  <c r="CJ16" i="4" s="1"/>
  <c r="CI17" i="4"/>
  <c r="CJ17" i="4" s="1"/>
  <c r="CI19" i="4"/>
  <c r="CJ19" i="4" s="1"/>
  <c r="CI22" i="4"/>
  <c r="CJ22" i="4" s="1"/>
  <c r="CI24" i="4"/>
  <c r="CJ24" i="4" s="1"/>
  <c r="CI18" i="4"/>
  <c r="CJ18" i="4" s="1"/>
  <c r="CI21" i="4"/>
  <c r="CJ21" i="4" s="1"/>
  <c r="CI23" i="4"/>
  <c r="CJ23" i="4" s="1"/>
  <c r="CI20" i="4"/>
  <c r="CJ20" i="4" s="1"/>
  <c r="CI25" i="4"/>
  <c r="CJ25" i="4" s="1"/>
  <c r="CI27" i="4"/>
  <c r="CJ27" i="4" s="1"/>
  <c r="CI29" i="4"/>
  <c r="CJ29" i="4" s="1"/>
  <c r="CI26" i="4"/>
  <c r="CJ26" i="4" s="1"/>
  <c r="CI28" i="4"/>
  <c r="CJ28" i="4" s="1"/>
  <c r="CJ30" i="4" l="1"/>
  <c r="CK10" i="4" l="1"/>
  <c r="CK12" i="4"/>
  <c r="CK18" i="4"/>
  <c r="CK17" i="4"/>
  <c r="CK26" i="4"/>
  <c r="CK9" i="4"/>
  <c r="CK14" i="4"/>
  <c r="CK20" i="4"/>
  <c r="CK28" i="4"/>
  <c r="CK11" i="4"/>
  <c r="CK16" i="4"/>
  <c r="CK21" i="4"/>
  <c r="CK22" i="4"/>
  <c r="CK29" i="4"/>
  <c r="CK13" i="4"/>
  <c r="CK15" i="4"/>
  <c r="CK23" i="4"/>
  <c r="CK24" i="4"/>
  <c r="CK25" i="4"/>
  <c r="CK19" i="4"/>
  <c r="CK27" i="4"/>
  <c r="CN19" i="4" l="1"/>
  <c r="CN15" i="4"/>
  <c r="CN21" i="4"/>
  <c r="CN20" i="4"/>
  <c r="CN17" i="4"/>
  <c r="CN25" i="4"/>
  <c r="CN14" i="4"/>
  <c r="CN18" i="4"/>
  <c r="CN13" i="4"/>
  <c r="CN24" i="4"/>
  <c r="CN29" i="4"/>
  <c r="CN11" i="4"/>
  <c r="CK30" i="4"/>
  <c r="CL30" i="4" s="1"/>
  <c r="CN9" i="4"/>
  <c r="CN12" i="4"/>
  <c r="CN16" i="4"/>
  <c r="CN27" i="4"/>
  <c r="CN23" i="4"/>
  <c r="CN22" i="4"/>
  <c r="CN28" i="4"/>
  <c r="CN26" i="4"/>
  <c r="CN10" i="4"/>
  <c r="CM30" i="4" l="1"/>
  <c r="CO9" i="4" l="1"/>
  <c r="CP9" i="4" s="1"/>
  <c r="CO10" i="4"/>
  <c r="CP10" i="4" s="1"/>
  <c r="CO12" i="4"/>
  <c r="CP12" i="4" s="1"/>
  <c r="CO13" i="4"/>
  <c r="CP13" i="4" s="1"/>
  <c r="CO11" i="4"/>
  <c r="CP11" i="4" s="1"/>
  <c r="CO15" i="4"/>
  <c r="CP15" i="4" s="1"/>
  <c r="CO16" i="4"/>
  <c r="CP16" i="4" s="1"/>
  <c r="CO14" i="4"/>
  <c r="CP14" i="4" s="1"/>
  <c r="CO17" i="4"/>
  <c r="CP17" i="4" s="1"/>
  <c r="CO19" i="4"/>
  <c r="CP19" i="4" s="1"/>
  <c r="CO20" i="4"/>
  <c r="CP20" i="4" s="1"/>
  <c r="CO22" i="4"/>
  <c r="CP22" i="4" s="1"/>
  <c r="CO24" i="4"/>
  <c r="CP24" i="4" s="1"/>
  <c r="CO18" i="4"/>
  <c r="CP18" i="4" s="1"/>
  <c r="CO21" i="4"/>
  <c r="CP21" i="4" s="1"/>
  <c r="CO23" i="4"/>
  <c r="CP23" i="4" s="1"/>
  <c r="CO25" i="4"/>
  <c r="CP25" i="4" s="1"/>
  <c r="CO27" i="4"/>
  <c r="CP27" i="4" s="1"/>
  <c r="CO29" i="4"/>
  <c r="CP29" i="4" s="1"/>
  <c r="CO26" i="4"/>
  <c r="CP26" i="4" s="1"/>
  <c r="CO28" i="4"/>
  <c r="CP28" i="4" s="1"/>
  <c r="CP30" i="4" l="1"/>
  <c r="CQ10" i="4" l="1"/>
  <c r="CQ12" i="4"/>
  <c r="CQ18" i="4"/>
  <c r="CQ22" i="4"/>
  <c r="CQ26" i="4"/>
  <c r="CQ27" i="4"/>
  <c r="CQ9" i="4"/>
  <c r="CQ14" i="4"/>
  <c r="CQ20" i="4"/>
  <c r="CQ28" i="4"/>
  <c r="CQ11" i="4"/>
  <c r="CQ16" i="4"/>
  <c r="CQ21" i="4"/>
  <c r="CQ17" i="4"/>
  <c r="CQ13" i="4"/>
  <c r="CQ15" i="4"/>
  <c r="CQ23" i="4"/>
  <c r="CQ19" i="4"/>
  <c r="CQ25" i="4"/>
  <c r="CQ24" i="4"/>
  <c r="CQ29" i="4"/>
  <c r="CT24" i="4" l="1"/>
  <c r="CT15" i="4"/>
  <c r="CT16" i="4"/>
  <c r="CT14" i="4"/>
  <c r="CT22" i="4"/>
  <c r="CT13" i="4"/>
  <c r="CT11" i="4"/>
  <c r="CQ30" i="4"/>
  <c r="CR30" i="4" s="1"/>
  <c r="CT9" i="4"/>
  <c r="CT18" i="4"/>
  <c r="CT19" i="4"/>
  <c r="CT17" i="4"/>
  <c r="CT28" i="4"/>
  <c r="CT27" i="4"/>
  <c r="CT12" i="4"/>
  <c r="CT25" i="4"/>
  <c r="CT29" i="4"/>
  <c r="CT23" i="4"/>
  <c r="CT21" i="4"/>
  <c r="CT20" i="4"/>
  <c r="CT26" i="4"/>
  <c r="CT10" i="4"/>
  <c r="CS30" i="4" l="1"/>
  <c r="CU9" i="4" l="1"/>
  <c r="CV9" i="4" s="1"/>
  <c r="CU10" i="4"/>
  <c r="CV10" i="4" s="1"/>
  <c r="CU12" i="4"/>
  <c r="CV12" i="4" s="1"/>
  <c r="CU11" i="4"/>
  <c r="CV11" i="4" s="1"/>
  <c r="CU13" i="4"/>
  <c r="CV13" i="4" s="1"/>
  <c r="CU15" i="4"/>
  <c r="CV15" i="4" s="1"/>
  <c r="CU14" i="4"/>
  <c r="CV14" i="4" s="1"/>
  <c r="CU17" i="4"/>
  <c r="CV17" i="4" s="1"/>
  <c r="CU19" i="4"/>
  <c r="CV19" i="4" s="1"/>
  <c r="CU16" i="4"/>
  <c r="CV16" i="4" s="1"/>
  <c r="CU22" i="4"/>
  <c r="CV22" i="4" s="1"/>
  <c r="CU24" i="4"/>
  <c r="CV24" i="4" s="1"/>
  <c r="CU21" i="4"/>
  <c r="CV21" i="4" s="1"/>
  <c r="CU23" i="4"/>
  <c r="CV23" i="4" s="1"/>
  <c r="CU18" i="4"/>
  <c r="CV18" i="4" s="1"/>
  <c r="CU20" i="4"/>
  <c r="CV20" i="4" s="1"/>
  <c r="CU25" i="4"/>
  <c r="CV25" i="4" s="1"/>
  <c r="CU27" i="4"/>
  <c r="CV27" i="4" s="1"/>
  <c r="CU29" i="4"/>
  <c r="CV29" i="4" s="1"/>
  <c r="CU26" i="4"/>
  <c r="CV26" i="4" s="1"/>
  <c r="CU28" i="4"/>
  <c r="CV28" i="4" s="1"/>
  <c r="CV30" i="4" l="1"/>
  <c r="CW10" i="4" l="1"/>
  <c r="CW12" i="4"/>
  <c r="CW20" i="4"/>
  <c r="CW23" i="4"/>
  <c r="CW26" i="4"/>
  <c r="CW25" i="4"/>
  <c r="CW9" i="4"/>
  <c r="CW14" i="4"/>
  <c r="CW17" i="4"/>
  <c r="CW22" i="4"/>
  <c r="CW28" i="4"/>
  <c r="CW11" i="4"/>
  <c r="CW16" i="4"/>
  <c r="CW24" i="4"/>
  <c r="CW13" i="4"/>
  <c r="CW18" i="4"/>
  <c r="CW21" i="4"/>
  <c r="CW15" i="4"/>
  <c r="CW27" i="4"/>
  <c r="CW29" i="4"/>
  <c r="CW19" i="4"/>
  <c r="CZ29" i="4" l="1"/>
  <c r="CZ18" i="4"/>
  <c r="CZ11" i="4"/>
  <c r="CZ14" i="4"/>
  <c r="CZ23" i="4"/>
  <c r="CZ27" i="4"/>
  <c r="CW30" i="4"/>
  <c r="CX30" i="4" s="1"/>
  <c r="CZ9" i="4"/>
  <c r="CZ20" i="4"/>
  <c r="CZ28" i="4"/>
  <c r="CZ15" i="4"/>
  <c r="CZ24" i="4"/>
  <c r="CZ22" i="4"/>
  <c r="CZ25" i="4"/>
  <c r="CZ12" i="4"/>
  <c r="CZ13" i="4"/>
  <c r="CZ19" i="4"/>
  <c r="CZ21" i="4"/>
  <c r="CZ16" i="4"/>
  <c r="CZ17" i="4"/>
  <c r="CZ26" i="4"/>
  <c r="CZ10" i="4"/>
  <c r="CY30" i="4" l="1"/>
  <c r="DA9" i="4" l="1"/>
  <c r="DB9" i="4" s="1"/>
  <c r="DA10" i="4"/>
  <c r="DB10" i="4" s="1"/>
  <c r="DA12" i="4"/>
  <c r="DB12" i="4" s="1"/>
  <c r="DA13" i="4"/>
  <c r="DB13" i="4" s="1"/>
  <c r="DA11" i="4"/>
  <c r="DB11" i="4" s="1"/>
  <c r="DA15" i="4"/>
  <c r="DB15" i="4" s="1"/>
  <c r="DA16" i="4"/>
  <c r="DB16" i="4" s="1"/>
  <c r="DA17" i="4"/>
  <c r="DB17" i="4" s="1"/>
  <c r="DA19" i="4"/>
  <c r="DB19" i="4" s="1"/>
  <c r="DA18" i="4"/>
  <c r="DB18" i="4" s="1"/>
  <c r="DA22" i="4"/>
  <c r="DB22" i="4" s="1"/>
  <c r="DA24" i="4"/>
  <c r="DB24" i="4" s="1"/>
  <c r="DA20" i="4"/>
  <c r="DB20" i="4" s="1"/>
  <c r="DA21" i="4"/>
  <c r="DB21" i="4" s="1"/>
  <c r="DA23" i="4"/>
  <c r="DB23" i="4" s="1"/>
  <c r="DA14" i="4"/>
  <c r="DB14" i="4" s="1"/>
  <c r="DA25" i="4"/>
  <c r="DB25" i="4" s="1"/>
  <c r="DA27" i="4"/>
  <c r="DB27" i="4" s="1"/>
  <c r="DA29" i="4"/>
  <c r="DB29" i="4" s="1"/>
  <c r="DA26" i="4"/>
  <c r="DB26" i="4" s="1"/>
  <c r="DA28" i="4"/>
  <c r="DB28" i="4" s="1"/>
  <c r="DB30" i="4" l="1"/>
  <c r="DC10" i="4" l="1"/>
  <c r="DC12" i="4"/>
  <c r="DC18" i="4"/>
  <c r="DC17" i="4"/>
  <c r="DC26" i="4"/>
  <c r="DC29" i="4"/>
  <c r="DC9" i="4"/>
  <c r="DC14" i="4"/>
  <c r="DC20" i="4"/>
  <c r="DC28" i="4"/>
  <c r="DC11" i="4"/>
  <c r="DC16" i="4"/>
  <c r="DC21" i="4"/>
  <c r="DC22" i="4"/>
  <c r="DC13" i="4"/>
  <c r="DC15" i="4"/>
  <c r="DC23" i="4"/>
  <c r="DC24" i="4"/>
  <c r="DC25" i="4"/>
  <c r="DC27" i="4"/>
  <c r="DC19" i="4"/>
  <c r="DF27" i="4" l="1"/>
  <c r="DF15" i="4"/>
  <c r="DF16" i="4"/>
  <c r="DF14" i="4"/>
  <c r="DF17" i="4"/>
  <c r="DF13" i="4"/>
  <c r="DC30" i="4"/>
  <c r="DD30" i="4" s="1"/>
  <c r="DF9" i="4"/>
  <c r="DF18" i="4"/>
  <c r="DF11" i="4"/>
  <c r="DF24" i="4"/>
  <c r="DF22" i="4"/>
  <c r="DF28" i="4"/>
  <c r="DF29" i="4"/>
  <c r="DF12" i="4"/>
  <c r="DF25" i="4"/>
  <c r="DF19" i="4"/>
  <c r="DF23" i="4"/>
  <c r="DF21" i="4"/>
  <c r="DF20" i="4"/>
  <c r="DF26" i="4"/>
  <c r="DF10" i="4"/>
  <c r="DE30" i="4" l="1"/>
  <c r="DG9" i="4" l="1"/>
  <c r="DH9" i="4" s="1"/>
  <c r="DG10" i="4"/>
  <c r="DH10" i="4" s="1"/>
  <c r="DG11" i="4"/>
  <c r="DH11" i="4" s="1"/>
  <c r="DG12" i="4"/>
  <c r="DH12" i="4" s="1"/>
  <c r="DG13" i="4"/>
  <c r="DH13" i="4" s="1"/>
  <c r="DG15" i="4"/>
  <c r="DH15" i="4" s="1"/>
  <c r="DG14" i="4"/>
  <c r="DH14" i="4" s="1"/>
  <c r="DG16" i="4"/>
  <c r="DH16" i="4" s="1"/>
  <c r="DG17" i="4"/>
  <c r="DH17" i="4" s="1"/>
  <c r="DG19" i="4"/>
  <c r="DH19" i="4" s="1"/>
  <c r="DG22" i="4"/>
  <c r="DH22" i="4" s="1"/>
  <c r="DG24" i="4"/>
  <c r="DH24" i="4" s="1"/>
  <c r="DG18" i="4"/>
  <c r="DH18" i="4" s="1"/>
  <c r="DG21" i="4"/>
  <c r="DH21" i="4" s="1"/>
  <c r="DG23" i="4"/>
  <c r="DH23" i="4" s="1"/>
  <c r="DG20" i="4"/>
  <c r="DH20" i="4" s="1"/>
  <c r="DG25" i="4"/>
  <c r="DH25" i="4" s="1"/>
  <c r="DG27" i="4"/>
  <c r="DH27" i="4" s="1"/>
  <c r="DG29" i="4"/>
  <c r="DH29" i="4" s="1"/>
  <c r="DG26" i="4"/>
  <c r="DH26" i="4" s="1"/>
  <c r="DG28" i="4"/>
  <c r="DH28" i="4" s="1"/>
  <c r="DH30" i="4" l="1"/>
  <c r="DI10" i="4" l="1"/>
  <c r="DI12" i="4"/>
  <c r="DI18" i="4"/>
  <c r="DI17" i="4"/>
  <c r="DI26" i="4"/>
  <c r="DI25" i="4"/>
  <c r="DI27" i="4"/>
  <c r="DI23" i="4"/>
  <c r="DI24" i="4"/>
  <c r="DI9" i="4"/>
  <c r="DI14" i="4"/>
  <c r="DI20" i="4"/>
  <c r="DI19" i="4"/>
  <c r="DI28" i="4"/>
  <c r="DI11" i="4"/>
  <c r="DI16" i="4"/>
  <c r="DI21" i="4"/>
  <c r="DI22" i="4"/>
  <c r="DI29" i="4"/>
  <c r="DI13" i="4"/>
  <c r="DI15" i="4"/>
  <c r="DL13" i="4" l="1"/>
  <c r="DL16" i="4"/>
  <c r="DL20" i="4"/>
  <c r="DL23" i="4"/>
  <c r="DL17" i="4"/>
  <c r="DL29" i="4"/>
  <c r="DL14" i="4"/>
  <c r="DL27" i="4"/>
  <c r="DL18" i="4"/>
  <c r="DL11" i="4"/>
  <c r="DL22" i="4"/>
  <c r="DL28" i="4"/>
  <c r="DI30" i="4"/>
  <c r="DJ30" i="4" s="1"/>
  <c r="DL9" i="4"/>
  <c r="DL25" i="4"/>
  <c r="DL12" i="4"/>
  <c r="DL15" i="4"/>
  <c r="DL21" i="4"/>
  <c r="DL19" i="4"/>
  <c r="DL24" i="4"/>
  <c r="DL26" i="4"/>
  <c r="DL10" i="4"/>
  <c r="DK30" i="4" l="1"/>
  <c r="DM9" i="4" l="1"/>
  <c r="DN9" i="4" s="1"/>
  <c r="DM10" i="4"/>
  <c r="DN10" i="4" s="1"/>
  <c r="DM12" i="4"/>
  <c r="DN12" i="4" s="1"/>
  <c r="DM13" i="4"/>
  <c r="DN13" i="4" s="1"/>
  <c r="DM11" i="4"/>
  <c r="DN11" i="4" s="1"/>
  <c r="DM15" i="4"/>
  <c r="DN15" i="4" s="1"/>
  <c r="DM16" i="4"/>
  <c r="DN16" i="4" s="1"/>
  <c r="DM14" i="4"/>
  <c r="DN14" i="4" s="1"/>
  <c r="DM17" i="4"/>
  <c r="DN17" i="4" s="1"/>
  <c r="DM19" i="4"/>
  <c r="DN19" i="4" s="1"/>
  <c r="DM20" i="4"/>
  <c r="DN20" i="4" s="1"/>
  <c r="DM22" i="4"/>
  <c r="DN22" i="4" s="1"/>
  <c r="DM24" i="4"/>
  <c r="DN24" i="4" s="1"/>
  <c r="DM18" i="4"/>
  <c r="DN18" i="4" s="1"/>
  <c r="DM21" i="4"/>
  <c r="DN21" i="4" s="1"/>
  <c r="DM23" i="4"/>
  <c r="DN23" i="4" s="1"/>
  <c r="DM25" i="4"/>
  <c r="DN25" i="4" s="1"/>
  <c r="DM27" i="4"/>
  <c r="DN27" i="4" s="1"/>
  <c r="DM29" i="4"/>
  <c r="DN29" i="4" s="1"/>
  <c r="DM28" i="4"/>
  <c r="DN28" i="4" s="1"/>
  <c r="DM26" i="4"/>
  <c r="DN26" i="4" s="1"/>
  <c r="DN30" i="4" l="1"/>
  <c r="DO10" i="4" l="1"/>
  <c r="DO12" i="4"/>
  <c r="DO18" i="4"/>
  <c r="DO22" i="4"/>
  <c r="DO26" i="4"/>
  <c r="DO27" i="4"/>
  <c r="DO9" i="4"/>
  <c r="DO14" i="4"/>
  <c r="DO20" i="4"/>
  <c r="DO17" i="4"/>
  <c r="DO29" i="4"/>
  <c r="DO11" i="4"/>
  <c r="DO16" i="4"/>
  <c r="DO21" i="4"/>
  <c r="DO19" i="4"/>
  <c r="DO13" i="4"/>
  <c r="DO15" i="4"/>
  <c r="DO23" i="4"/>
  <c r="DO24" i="4"/>
  <c r="DO25" i="4"/>
  <c r="DO28" i="4"/>
  <c r="DR25" i="4" l="1"/>
  <c r="DR13" i="4"/>
  <c r="DR11" i="4"/>
  <c r="DR14" i="4"/>
  <c r="DR22" i="4"/>
  <c r="DR19" i="4"/>
  <c r="DR29" i="4"/>
  <c r="DO30" i="4"/>
  <c r="DP30" i="4" s="1"/>
  <c r="DR9" i="4"/>
  <c r="DR18" i="4"/>
  <c r="DR23" i="4"/>
  <c r="DR21" i="4"/>
  <c r="DR17" i="4"/>
  <c r="DR27" i="4"/>
  <c r="DR12" i="4"/>
  <c r="DR24" i="4"/>
  <c r="DR28" i="4"/>
  <c r="DR15" i="4"/>
  <c r="DR16" i="4"/>
  <c r="DR20" i="4"/>
  <c r="DR26" i="4"/>
  <c r="DR10" i="4"/>
  <c r="DQ30" i="4" l="1"/>
  <c r="DS9" i="4" l="1"/>
  <c r="DT9" i="4" s="1"/>
  <c r="DS10" i="4"/>
  <c r="DT10" i="4" s="1"/>
  <c r="DS12" i="4"/>
  <c r="DT12" i="4" s="1"/>
  <c r="DS11" i="4"/>
  <c r="DT11" i="4" s="1"/>
  <c r="DS13" i="4"/>
  <c r="DT13" i="4" s="1"/>
  <c r="DS15" i="4"/>
  <c r="DT15" i="4" s="1"/>
  <c r="DS14" i="4"/>
  <c r="DT14" i="4" s="1"/>
  <c r="DS17" i="4"/>
  <c r="DT17" i="4" s="1"/>
  <c r="DS19" i="4"/>
  <c r="DT19" i="4" s="1"/>
  <c r="DS22" i="4"/>
  <c r="DT22" i="4" s="1"/>
  <c r="DS24" i="4"/>
  <c r="DT24" i="4" s="1"/>
  <c r="DS21" i="4"/>
  <c r="DT21" i="4" s="1"/>
  <c r="DS23" i="4"/>
  <c r="DT23" i="4" s="1"/>
  <c r="DS16" i="4"/>
  <c r="DT16" i="4" s="1"/>
  <c r="DS18" i="4"/>
  <c r="DT18" i="4" s="1"/>
  <c r="DS20" i="4"/>
  <c r="DT20" i="4" s="1"/>
  <c r="DS25" i="4"/>
  <c r="DT25" i="4" s="1"/>
  <c r="DS27" i="4"/>
  <c r="DT27" i="4" s="1"/>
  <c r="DS29" i="4"/>
  <c r="DT29" i="4" s="1"/>
  <c r="DS28" i="4"/>
  <c r="DT28" i="4" s="1"/>
  <c r="DS26" i="4"/>
  <c r="DT26" i="4" s="1"/>
  <c r="DT30" i="4" l="1"/>
  <c r="DU10" i="4" l="1"/>
  <c r="DU12" i="4"/>
  <c r="DU20" i="4"/>
  <c r="DU21" i="4"/>
  <c r="DU26" i="4"/>
  <c r="DU28" i="4"/>
  <c r="DU24" i="4"/>
  <c r="DU9" i="4"/>
  <c r="DU14" i="4"/>
  <c r="DU15" i="4"/>
  <c r="DU23" i="4"/>
  <c r="DU29" i="4"/>
  <c r="DU11" i="4"/>
  <c r="DU16" i="4"/>
  <c r="DU17" i="4"/>
  <c r="DU22" i="4"/>
  <c r="DU25" i="4"/>
  <c r="DU13" i="4"/>
  <c r="DU18" i="4"/>
  <c r="DU19" i="4"/>
  <c r="DU27" i="4"/>
  <c r="DX19" i="4" l="1"/>
  <c r="DX22" i="4"/>
  <c r="DX29" i="4"/>
  <c r="DU30" i="4"/>
  <c r="DV30" i="4" s="1"/>
  <c r="DX9" i="4"/>
  <c r="DX21" i="4"/>
  <c r="DX23" i="4"/>
  <c r="DX24" i="4"/>
  <c r="DX20" i="4"/>
  <c r="DX17" i="4"/>
  <c r="DX16" i="4"/>
  <c r="DX15" i="4"/>
  <c r="DX28" i="4"/>
  <c r="DX12" i="4"/>
  <c r="DX18" i="4"/>
  <c r="DX13" i="4"/>
  <c r="DX27" i="4"/>
  <c r="DX25" i="4"/>
  <c r="DX11" i="4"/>
  <c r="DX14" i="4"/>
  <c r="DX26" i="4"/>
  <c r="DX10" i="4"/>
  <c r="DW30" i="4" l="1"/>
  <c r="DY9" i="4" l="1"/>
  <c r="DZ9" i="4" s="1"/>
  <c r="DY10" i="4"/>
  <c r="DZ10" i="4" s="1"/>
  <c r="DY12" i="4"/>
  <c r="DZ12" i="4" s="1"/>
  <c r="DY13" i="4"/>
  <c r="DZ13" i="4" s="1"/>
  <c r="DY11" i="4"/>
  <c r="DZ11" i="4" s="1"/>
  <c r="DY15" i="4"/>
  <c r="DZ15" i="4" s="1"/>
  <c r="DY17" i="4"/>
  <c r="DZ17" i="4" s="1"/>
  <c r="DY19" i="4"/>
  <c r="DZ19" i="4" s="1"/>
  <c r="DY14" i="4"/>
  <c r="DZ14" i="4" s="1"/>
  <c r="DY16" i="4"/>
  <c r="DZ16" i="4" s="1"/>
  <c r="DY18" i="4"/>
  <c r="DZ18" i="4" s="1"/>
  <c r="DY22" i="4"/>
  <c r="DZ22" i="4" s="1"/>
  <c r="DY24" i="4"/>
  <c r="DZ24" i="4" s="1"/>
  <c r="DY20" i="4"/>
  <c r="DZ20" i="4" s="1"/>
  <c r="DY21" i="4"/>
  <c r="DZ21" i="4" s="1"/>
  <c r="DY23" i="4"/>
  <c r="DZ23" i="4" s="1"/>
  <c r="DY25" i="4"/>
  <c r="DZ25" i="4" s="1"/>
  <c r="DY27" i="4"/>
  <c r="DZ27" i="4" s="1"/>
  <c r="DY26" i="4"/>
  <c r="DZ26" i="4" s="1"/>
  <c r="DY28" i="4"/>
  <c r="DZ28" i="4" s="1"/>
  <c r="DY29" i="4"/>
  <c r="DZ29" i="4" s="1"/>
  <c r="DZ30" i="4" l="1"/>
  <c r="EA10" i="4" l="1"/>
  <c r="EA12" i="4"/>
  <c r="EA18" i="4"/>
  <c r="EA17" i="4"/>
  <c r="EA26" i="4"/>
  <c r="EA27" i="4"/>
  <c r="EA9" i="4"/>
  <c r="EA14" i="4"/>
  <c r="EA20" i="4"/>
  <c r="EA19" i="4"/>
  <c r="EA29" i="4"/>
  <c r="EA11" i="4"/>
  <c r="EA15" i="4"/>
  <c r="EA21" i="4"/>
  <c r="EA22" i="4"/>
  <c r="EA13" i="4"/>
  <c r="EA16" i="4"/>
  <c r="EA23" i="4"/>
  <c r="EA24" i="4"/>
  <c r="EA25" i="4"/>
  <c r="EA28" i="4"/>
  <c r="ED25" i="4" l="1"/>
  <c r="ED13" i="4"/>
  <c r="ED11" i="4"/>
  <c r="ED14" i="4"/>
  <c r="ED17" i="4"/>
  <c r="ED24" i="4"/>
  <c r="ED22" i="4"/>
  <c r="ED29" i="4"/>
  <c r="EA30" i="4"/>
  <c r="EB30" i="4" s="1"/>
  <c r="ED9" i="4"/>
  <c r="ED18" i="4"/>
  <c r="ED21" i="4"/>
  <c r="ED19" i="4"/>
  <c r="ED27" i="4"/>
  <c r="ED12" i="4"/>
  <c r="ED23" i="4"/>
  <c r="ED28" i="4"/>
  <c r="ED16" i="4"/>
  <c r="ED15" i="4"/>
  <c r="ED20" i="4"/>
  <c r="ED26" i="4"/>
  <c r="ED10" i="4"/>
  <c r="EC30" i="4" l="1"/>
  <c r="EE9" i="4" l="1"/>
  <c r="EF9" i="4" s="1"/>
  <c r="EE10" i="4"/>
  <c r="EF10" i="4" s="1"/>
  <c r="EE11" i="4"/>
  <c r="EF11" i="4" s="1"/>
  <c r="EE12" i="4"/>
  <c r="EF12" i="4" s="1"/>
  <c r="EE13" i="4"/>
  <c r="EF13" i="4" s="1"/>
  <c r="EE15" i="4"/>
  <c r="EF15" i="4" s="1"/>
  <c r="EE14" i="4"/>
  <c r="EF14" i="4" s="1"/>
  <c r="EE17" i="4"/>
  <c r="EF17" i="4" s="1"/>
  <c r="EE19" i="4"/>
  <c r="EF19" i="4" s="1"/>
  <c r="EE22" i="4"/>
  <c r="EF22" i="4" s="1"/>
  <c r="EE16" i="4"/>
  <c r="EF16" i="4" s="1"/>
  <c r="EE18" i="4"/>
  <c r="EF18" i="4" s="1"/>
  <c r="EE21" i="4"/>
  <c r="EF21" i="4" s="1"/>
  <c r="EE23" i="4"/>
  <c r="EF23" i="4" s="1"/>
  <c r="EE20" i="4"/>
  <c r="EF20" i="4" s="1"/>
  <c r="EE25" i="4"/>
  <c r="EF25" i="4" s="1"/>
  <c r="EE27" i="4"/>
  <c r="EF27" i="4" s="1"/>
  <c r="EE26" i="4"/>
  <c r="EF26" i="4" s="1"/>
  <c r="EE29" i="4"/>
  <c r="EF29" i="4" s="1"/>
  <c r="EE24" i="4"/>
  <c r="EF24" i="4" s="1"/>
  <c r="EE28" i="4"/>
  <c r="EF28" i="4" s="1"/>
  <c r="EF30" i="4" l="1"/>
  <c r="EG10" i="4" l="1"/>
  <c r="EG12" i="4"/>
  <c r="EG18" i="4"/>
  <c r="EG17" i="4"/>
  <c r="EG26" i="4"/>
  <c r="EG27" i="4"/>
  <c r="EG9" i="4"/>
  <c r="EG14" i="4"/>
  <c r="EG20" i="4"/>
  <c r="EG19" i="4"/>
  <c r="EG29" i="4"/>
  <c r="EG11" i="4"/>
  <c r="EG15" i="4"/>
  <c r="EG21" i="4"/>
  <c r="EG22" i="4"/>
  <c r="EG13" i="4"/>
  <c r="EG16" i="4"/>
  <c r="EG23" i="4"/>
  <c r="EG24" i="4"/>
  <c r="EG25" i="4"/>
  <c r="EG28" i="4"/>
  <c r="EJ13" i="4" l="1"/>
  <c r="EJ11" i="4"/>
  <c r="EJ14" i="4"/>
  <c r="EJ17" i="4"/>
  <c r="EJ24" i="4"/>
  <c r="EJ22" i="4"/>
  <c r="EJ29" i="4"/>
  <c r="EG30" i="4"/>
  <c r="EH30" i="4" s="1"/>
  <c r="EJ9" i="4"/>
  <c r="EJ18" i="4"/>
  <c r="EJ21" i="4"/>
  <c r="EJ19" i="4"/>
  <c r="EJ27" i="4"/>
  <c r="EJ12" i="4"/>
  <c r="EJ25" i="4"/>
  <c r="EJ23" i="4"/>
  <c r="EJ28" i="4"/>
  <c r="EJ16" i="4"/>
  <c r="EJ15" i="4"/>
  <c r="EJ20" i="4"/>
  <c r="EJ26" i="4"/>
  <c r="EJ10" i="4"/>
  <c r="EI30" i="4" l="1"/>
  <c r="EK9" i="4" l="1"/>
  <c r="EL9" i="4" s="1"/>
  <c r="EK10" i="4"/>
  <c r="EL10" i="4" s="1"/>
  <c r="EK12" i="4"/>
  <c r="EL12" i="4" s="1"/>
  <c r="EK11" i="4"/>
  <c r="EL11" i="4" s="1"/>
  <c r="EK13" i="4"/>
  <c r="EL13" i="4" s="1"/>
  <c r="EK15" i="4"/>
  <c r="EL15" i="4" s="1"/>
  <c r="EK14" i="4"/>
  <c r="EL14" i="4" s="1"/>
  <c r="EK17" i="4"/>
  <c r="EL17" i="4" s="1"/>
  <c r="EK19" i="4"/>
  <c r="EL19" i="4" s="1"/>
  <c r="EK20" i="4"/>
  <c r="EL20" i="4" s="1"/>
  <c r="EK22" i="4"/>
  <c r="EL22" i="4" s="1"/>
  <c r="EK16" i="4"/>
  <c r="EL16" i="4" s="1"/>
  <c r="EK18" i="4"/>
  <c r="EL18" i="4" s="1"/>
  <c r="EK21" i="4"/>
  <c r="EL21" i="4" s="1"/>
  <c r="EK23" i="4"/>
  <c r="EL23" i="4" s="1"/>
  <c r="EK24" i="4"/>
  <c r="EL24" i="4" s="1"/>
  <c r="EK25" i="4"/>
  <c r="EL25" i="4" s="1"/>
  <c r="EK27" i="4"/>
  <c r="EL27" i="4" s="1"/>
  <c r="EK28" i="4"/>
  <c r="EL28" i="4" s="1"/>
  <c r="EK26" i="4"/>
  <c r="EL26" i="4" s="1"/>
  <c r="EK29" i="4"/>
  <c r="EL29" i="4" s="1"/>
  <c r="EL30" i="4" l="1"/>
  <c r="EM10" i="4" l="1"/>
  <c r="EM12" i="4"/>
  <c r="EM18" i="4"/>
  <c r="EM22" i="4"/>
  <c r="EM26" i="4"/>
  <c r="EM27" i="4"/>
  <c r="EM16" i="4"/>
  <c r="EM24" i="4"/>
  <c r="EM9" i="4"/>
  <c r="EM14" i="4"/>
  <c r="EM20" i="4"/>
  <c r="EM17" i="4"/>
  <c r="EM28" i="4"/>
  <c r="EM29" i="4"/>
  <c r="EM25" i="4"/>
  <c r="EM11" i="4"/>
  <c r="EM15" i="4"/>
  <c r="EM21" i="4"/>
  <c r="EM19" i="4"/>
  <c r="EM13" i="4"/>
  <c r="EM23" i="4"/>
  <c r="EP19" i="4" l="1"/>
  <c r="EP23" i="4"/>
  <c r="EP13" i="4"/>
  <c r="EP11" i="4"/>
  <c r="EP17" i="4"/>
  <c r="EP24" i="4"/>
  <c r="EP22" i="4"/>
  <c r="EP20" i="4"/>
  <c r="EP16" i="4"/>
  <c r="EP18" i="4"/>
  <c r="EP21" i="4"/>
  <c r="EP29" i="4"/>
  <c r="EP14" i="4"/>
  <c r="EP27" i="4"/>
  <c r="EP12" i="4"/>
  <c r="EP25" i="4"/>
  <c r="EP15" i="4"/>
  <c r="EP28" i="4"/>
  <c r="EM30" i="4"/>
  <c r="EN30" i="4" s="1"/>
  <c r="EP9" i="4"/>
  <c r="EP26" i="4"/>
  <c r="EP10" i="4"/>
  <c r="EO30" i="4" l="1"/>
  <c r="EQ9" i="4" s="1"/>
  <c r="ER9" i="4" s="1"/>
  <c r="EQ18" i="4" l="1"/>
  <c r="ER18" i="4" s="1"/>
  <c r="EQ15" i="4"/>
  <c r="ER15" i="4" s="1"/>
  <c r="EQ10" i="4"/>
  <c r="ER10" i="4" s="1"/>
  <c r="EQ28" i="4"/>
  <c r="ER28" i="4" s="1"/>
  <c r="EQ24" i="4"/>
  <c r="ER24" i="4" s="1"/>
  <c r="EQ23" i="4"/>
  <c r="ER23" i="4" s="1"/>
  <c r="EQ17" i="4"/>
  <c r="ER17" i="4" s="1"/>
  <c r="EQ11" i="4"/>
  <c r="ER11" i="4" s="1"/>
  <c r="EQ29" i="4"/>
  <c r="ER29" i="4" s="1"/>
  <c r="EQ20" i="4"/>
  <c r="ER20" i="4" s="1"/>
  <c r="EQ21" i="4"/>
  <c r="ER21" i="4" s="1"/>
  <c r="EQ14" i="4"/>
  <c r="ER14" i="4" s="1"/>
  <c r="EQ12" i="4"/>
  <c r="ER12" i="4" s="1"/>
  <c r="EQ27" i="4"/>
  <c r="ER27" i="4" s="1"/>
  <c r="EQ22" i="4"/>
  <c r="ER22" i="4" s="1"/>
  <c r="EQ26" i="4"/>
  <c r="ER26" i="4" s="1"/>
  <c r="EQ25" i="4"/>
  <c r="ER25" i="4" s="1"/>
  <c r="EQ16" i="4"/>
  <c r="ER16" i="4" s="1"/>
  <c r="EQ19" i="4"/>
  <c r="ER19" i="4" s="1"/>
  <c r="EQ13" i="4"/>
  <c r="ER13" i="4" s="1"/>
  <c r="ER30" i="4" l="1"/>
  <c r="ES18" i="4" s="1"/>
  <c r="ES29" i="4" l="1"/>
  <c r="ES9" i="4"/>
  <c r="ES24" i="4"/>
  <c r="ES28" i="4"/>
  <c r="EV28" i="4" s="1"/>
  <c r="ES25" i="4"/>
  <c r="ES13" i="4"/>
  <c r="ES26" i="4"/>
  <c r="EV26" i="4" s="1"/>
  <c r="ES22" i="4"/>
  <c r="EV22" i="4" s="1"/>
  <c r="ES17" i="4"/>
  <c r="ES23" i="4"/>
  <c r="ES15" i="4"/>
  <c r="EV15" i="4" s="1"/>
  <c r="ES21" i="4"/>
  <c r="EV21" i="4" s="1"/>
  <c r="ES19" i="4"/>
  <c r="EV19" i="4" s="1"/>
  <c r="ES14" i="4"/>
  <c r="EV14" i="4" s="1"/>
  <c r="ES20" i="4"/>
  <c r="EV20" i="4" s="1"/>
  <c r="ES27" i="4"/>
  <c r="EV27" i="4" s="1"/>
  <c r="ES12" i="4"/>
  <c r="EV12" i="4" s="1"/>
  <c r="ES16" i="4"/>
  <c r="EV16" i="4" s="1"/>
  <c r="ES11" i="4"/>
  <c r="EV11" i="4" s="1"/>
  <c r="ES10" i="4"/>
  <c r="EV10" i="4" s="1"/>
  <c r="EV25" i="4"/>
  <c r="EV13" i="4"/>
  <c r="EV29" i="4"/>
  <c r="EV9" i="4"/>
  <c r="EV17" i="4"/>
  <c r="EV23" i="4"/>
  <c r="EV24" i="4"/>
  <c r="EV18" i="4"/>
  <c r="ES30" i="4" l="1"/>
  <c r="ET30" i="4" s="1"/>
  <c r="EU30" i="4"/>
  <c r="EW9" i="4" l="1"/>
  <c r="EX9" i="4" s="1"/>
  <c r="EW10" i="4"/>
  <c r="EX10" i="4" s="1"/>
  <c r="EW12" i="4"/>
  <c r="EX12" i="4" s="1"/>
  <c r="EW11" i="4"/>
  <c r="EX11" i="4" s="1"/>
  <c r="EW13" i="4"/>
  <c r="EX13" i="4" s="1"/>
  <c r="EW15" i="4"/>
  <c r="EX15" i="4" s="1"/>
  <c r="EW17" i="4"/>
  <c r="EX17" i="4" s="1"/>
  <c r="EW19" i="4"/>
  <c r="EX19" i="4" s="1"/>
  <c r="EW16" i="4"/>
  <c r="EX16" i="4" s="1"/>
  <c r="EW18" i="4"/>
  <c r="EX18" i="4" s="1"/>
  <c r="EW22" i="4"/>
  <c r="EX22" i="4" s="1"/>
  <c r="EW14" i="4"/>
  <c r="EX14" i="4" s="1"/>
  <c r="EW20" i="4"/>
  <c r="EX20" i="4" s="1"/>
  <c r="EW21" i="4"/>
  <c r="EX21" i="4" s="1"/>
  <c r="EW23" i="4"/>
  <c r="EX23" i="4" s="1"/>
  <c r="EW24" i="4"/>
  <c r="EX24" i="4" s="1"/>
  <c r="EW25" i="4"/>
  <c r="EX25" i="4" s="1"/>
  <c r="EW27" i="4"/>
  <c r="EX27" i="4" s="1"/>
  <c r="EW26" i="4"/>
  <c r="EX26" i="4" s="1"/>
  <c r="EW28" i="4"/>
  <c r="EX28" i="4" s="1"/>
  <c r="EW29" i="4"/>
  <c r="EX29" i="4" s="1"/>
  <c r="EX30" i="4" l="1"/>
  <c r="EY9" i="4" l="1"/>
  <c r="EY10" i="4"/>
  <c r="EY18" i="4"/>
  <c r="EY17" i="4"/>
  <c r="EY26" i="4"/>
  <c r="EY27" i="4"/>
  <c r="EY29" i="4"/>
  <c r="EY25" i="4"/>
  <c r="EY11" i="4"/>
  <c r="EY14" i="4"/>
  <c r="EY20" i="4"/>
  <c r="EY22" i="4"/>
  <c r="EY28" i="4"/>
  <c r="EY23" i="4"/>
  <c r="EY13" i="4"/>
  <c r="EY15" i="4"/>
  <c r="EY21" i="4"/>
  <c r="EY19" i="4"/>
  <c r="EY12" i="4"/>
  <c r="EY16" i="4"/>
  <c r="EY24" i="4"/>
  <c r="FB16" i="4" l="1"/>
  <c r="FB15" i="4"/>
  <c r="FB22" i="4"/>
  <c r="FB25" i="4"/>
  <c r="FB17" i="4"/>
  <c r="FB13" i="4"/>
  <c r="FB20" i="4"/>
  <c r="FB29" i="4"/>
  <c r="FB18" i="4"/>
  <c r="FB12" i="4"/>
  <c r="FB19" i="4"/>
  <c r="FB23" i="4"/>
  <c r="FB14" i="4"/>
  <c r="FB27" i="4"/>
  <c r="FB10" i="4"/>
  <c r="FB24" i="4"/>
  <c r="FB21" i="4"/>
  <c r="FB28" i="4"/>
  <c r="FB11" i="4"/>
  <c r="FB26" i="4"/>
  <c r="EY30" i="4"/>
  <c r="EZ30" i="4" s="1"/>
  <c r="FB9" i="4"/>
  <c r="FA30" i="4" l="1"/>
  <c r="FC9" i="4" s="1"/>
  <c r="FD9" i="4" s="1"/>
  <c r="FC24" i="4" l="1"/>
  <c r="FD24" i="4" s="1"/>
  <c r="FC22" i="4"/>
  <c r="FD22" i="4" s="1"/>
  <c r="FC29" i="4"/>
  <c r="FD29" i="4" s="1"/>
  <c r="FC25" i="4"/>
  <c r="FD25" i="4" s="1"/>
  <c r="FC18" i="4"/>
  <c r="FD18" i="4" s="1"/>
  <c r="FC17" i="4"/>
  <c r="FD17" i="4" s="1"/>
  <c r="FC11" i="4"/>
  <c r="FD11" i="4" s="1"/>
  <c r="FC26" i="4"/>
  <c r="FD26" i="4" s="1"/>
  <c r="FC20" i="4"/>
  <c r="FD20" i="4" s="1"/>
  <c r="FC16" i="4"/>
  <c r="FD16" i="4" s="1"/>
  <c r="FC14" i="4"/>
  <c r="FD14" i="4" s="1"/>
  <c r="FC12" i="4"/>
  <c r="FD12" i="4" s="1"/>
  <c r="FC23" i="4"/>
  <c r="FD23" i="4" s="1"/>
  <c r="FC15" i="4"/>
  <c r="FD15" i="4" s="1"/>
  <c r="FC10" i="4"/>
  <c r="FD10" i="4" s="1"/>
  <c r="FC28" i="4"/>
  <c r="FD28" i="4" s="1"/>
  <c r="FC27" i="4"/>
  <c r="FD27" i="4" s="1"/>
  <c r="FC21" i="4"/>
  <c r="FD21" i="4" s="1"/>
  <c r="FC19" i="4"/>
  <c r="FD19" i="4" s="1"/>
  <c r="FC13" i="4"/>
  <c r="FD13" i="4" s="1"/>
  <c r="FD30" i="4" l="1"/>
  <c r="FE10" i="4" s="1"/>
  <c r="FE27" i="4" l="1"/>
  <c r="FE9" i="4"/>
  <c r="FE21" i="4"/>
  <c r="FH21" i="4" s="1"/>
  <c r="FE19" i="4"/>
  <c r="FH19" i="4" s="1"/>
  <c r="FE20" i="4"/>
  <c r="FE22" i="4"/>
  <c r="FE29" i="4"/>
  <c r="FH29" i="4" s="1"/>
  <c r="FE24" i="4"/>
  <c r="FH24" i="4" s="1"/>
  <c r="FE15" i="4"/>
  <c r="FE13" i="4"/>
  <c r="FH13" i="4" s="1"/>
  <c r="FE17" i="4"/>
  <c r="FH17" i="4" s="1"/>
  <c r="FE28" i="4"/>
  <c r="FH28" i="4" s="1"/>
  <c r="FE23" i="4"/>
  <c r="FE12" i="4"/>
  <c r="FE11" i="4"/>
  <c r="FE18" i="4"/>
  <c r="FH18" i="4" s="1"/>
  <c r="FE26" i="4"/>
  <c r="FE16" i="4"/>
  <c r="FH16" i="4" s="1"/>
  <c r="FE14" i="4"/>
  <c r="FH14" i="4" s="1"/>
  <c r="FE25" i="4"/>
  <c r="FH25" i="4" s="1"/>
  <c r="FH20" i="4"/>
  <c r="FH27" i="4"/>
  <c r="FH9" i="4"/>
  <c r="FH15" i="4"/>
  <c r="FH23" i="4"/>
  <c r="FH12" i="4"/>
  <c r="FH26" i="4"/>
  <c r="FH22" i="4"/>
  <c r="FH10" i="4"/>
  <c r="FE30" i="4" l="1"/>
  <c r="FF30" i="4" s="1"/>
  <c r="FH11" i="4"/>
  <c r="FG30" i="4" s="1"/>
  <c r="FI9" i="4" l="1"/>
  <c r="FJ9" i="4" s="1"/>
  <c r="FI10" i="4"/>
  <c r="FJ10" i="4" s="1"/>
  <c r="FI12" i="4"/>
  <c r="FJ12" i="4" s="1"/>
  <c r="FI11" i="4"/>
  <c r="FJ11" i="4" s="1"/>
  <c r="FI13" i="4"/>
  <c r="FJ13" i="4" s="1"/>
  <c r="FI15" i="4"/>
  <c r="FJ15" i="4" s="1"/>
  <c r="FI14" i="4"/>
  <c r="FJ14" i="4" s="1"/>
  <c r="FI17" i="4"/>
  <c r="FJ17" i="4" s="1"/>
  <c r="FI19" i="4"/>
  <c r="FJ19" i="4" s="1"/>
  <c r="FI20" i="4"/>
  <c r="FJ20" i="4" s="1"/>
  <c r="FI22" i="4"/>
  <c r="FJ22" i="4" s="1"/>
  <c r="FI16" i="4"/>
  <c r="FJ16" i="4" s="1"/>
  <c r="FI18" i="4"/>
  <c r="FJ18" i="4" s="1"/>
  <c r="FI21" i="4"/>
  <c r="FJ21" i="4" s="1"/>
  <c r="FI23" i="4"/>
  <c r="FJ23" i="4" s="1"/>
  <c r="FI25" i="4"/>
  <c r="FJ25" i="4" s="1"/>
  <c r="FI27" i="4"/>
  <c r="FJ27" i="4" s="1"/>
  <c r="FI28" i="4"/>
  <c r="FJ28" i="4" s="1"/>
  <c r="FI29" i="4"/>
  <c r="FJ29" i="4" s="1"/>
  <c r="FI24" i="4"/>
  <c r="FJ24" i="4" s="1"/>
  <c r="FI26" i="4"/>
  <c r="FJ26" i="4" s="1"/>
  <c r="FJ30" i="4" l="1"/>
  <c r="FK9" i="4" l="1"/>
  <c r="FK14" i="4"/>
  <c r="FK18" i="4"/>
  <c r="FK22" i="4"/>
  <c r="FK26" i="4"/>
  <c r="FK27" i="4"/>
  <c r="FK11" i="4"/>
  <c r="FK15" i="4"/>
  <c r="FK21" i="4"/>
  <c r="FK17" i="4"/>
  <c r="FK28" i="4"/>
  <c r="FK12" i="4"/>
  <c r="FK10" i="4"/>
  <c r="FK23" i="4"/>
  <c r="FK19" i="4"/>
  <c r="FK13" i="4"/>
  <c r="FK16" i="4"/>
  <c r="FK20" i="4"/>
  <c r="FK24" i="4"/>
  <c r="FK25" i="4"/>
  <c r="FK29" i="4"/>
  <c r="FN25" i="4" l="1"/>
  <c r="FN13" i="4"/>
  <c r="FN12" i="4"/>
  <c r="FN15" i="4"/>
  <c r="FN22" i="4"/>
  <c r="FN24" i="4"/>
  <c r="FN11" i="4"/>
  <c r="FN18" i="4"/>
  <c r="FN19" i="4"/>
  <c r="FN20" i="4"/>
  <c r="FN23" i="4"/>
  <c r="FN17" i="4"/>
  <c r="FN27" i="4"/>
  <c r="FN14" i="4"/>
  <c r="FN28" i="4"/>
  <c r="FN29" i="4"/>
  <c r="FN16" i="4"/>
  <c r="FN10" i="4"/>
  <c r="FN21" i="4"/>
  <c r="FN26" i="4"/>
  <c r="FK30" i="4"/>
  <c r="FL30" i="4" s="1"/>
  <c r="FN9" i="4"/>
  <c r="FM30" i="4" l="1"/>
  <c r="FO9" i="4" s="1"/>
  <c r="FP9" i="4" s="1"/>
  <c r="FO29" i="4" l="1"/>
  <c r="FP29" i="4" s="1"/>
  <c r="FO24" i="4"/>
  <c r="FP24" i="4" s="1"/>
  <c r="FO25" i="4"/>
  <c r="FP25" i="4" s="1"/>
  <c r="FO21" i="4"/>
  <c r="FP21" i="4" s="1"/>
  <c r="FO17" i="4"/>
  <c r="FP17" i="4" s="1"/>
  <c r="FO11" i="4"/>
  <c r="FP11" i="4" s="1"/>
  <c r="FO28" i="4"/>
  <c r="FP28" i="4" s="1"/>
  <c r="FO18" i="4"/>
  <c r="FP18" i="4" s="1"/>
  <c r="FO22" i="4"/>
  <c r="FP22" i="4" s="1"/>
  <c r="FO14" i="4"/>
  <c r="FP14" i="4" s="1"/>
  <c r="FO12" i="4"/>
  <c r="FP12" i="4" s="1"/>
  <c r="FO16" i="4"/>
  <c r="FP16" i="4" s="1"/>
  <c r="FO20" i="4"/>
  <c r="FP20" i="4" s="1"/>
  <c r="FO15" i="4"/>
  <c r="FP15" i="4" s="1"/>
  <c r="FO10" i="4"/>
  <c r="FP10" i="4" s="1"/>
  <c r="FO26" i="4"/>
  <c r="FP26" i="4" s="1"/>
  <c r="FO27" i="4"/>
  <c r="FP27" i="4" s="1"/>
  <c r="FO23" i="4"/>
  <c r="FP23" i="4" s="1"/>
  <c r="FO19" i="4"/>
  <c r="FP19" i="4" s="1"/>
  <c r="FO13" i="4"/>
  <c r="FP13" i="4" s="1"/>
  <c r="FP30" i="4" l="1"/>
  <c r="FQ14" i="4" s="1"/>
  <c r="FQ28" i="4" l="1"/>
  <c r="FQ24" i="4"/>
  <c r="FQ27" i="4"/>
  <c r="FT27" i="4" s="1"/>
  <c r="FQ16" i="4"/>
  <c r="FT16" i="4" s="1"/>
  <c r="FQ19" i="4"/>
  <c r="FQ25" i="4"/>
  <c r="FT25" i="4" s="1"/>
  <c r="FQ15" i="4"/>
  <c r="FT15" i="4" s="1"/>
  <c r="FQ22" i="4"/>
  <c r="FT22" i="4" s="1"/>
  <c r="FQ12" i="4"/>
  <c r="FT12" i="4" s="1"/>
  <c r="FQ11" i="4"/>
  <c r="FT11" i="4" s="1"/>
  <c r="FQ17" i="4"/>
  <c r="FT17" i="4" s="1"/>
  <c r="FQ20" i="4"/>
  <c r="FT20" i="4" s="1"/>
  <c r="FQ26" i="4"/>
  <c r="FT26" i="4" s="1"/>
  <c r="FQ23" i="4"/>
  <c r="FT23" i="4" s="1"/>
  <c r="FQ18" i="4"/>
  <c r="FT18" i="4" s="1"/>
  <c r="FQ13" i="4"/>
  <c r="FT13" i="4" s="1"/>
  <c r="FQ21" i="4"/>
  <c r="FQ10" i="4"/>
  <c r="FT10" i="4" s="1"/>
  <c r="FQ9" i="4"/>
  <c r="FT9" i="4" s="1"/>
  <c r="FQ29" i="4"/>
  <c r="FT29" i="4" s="1"/>
  <c r="FT19" i="4"/>
  <c r="FT14" i="4"/>
  <c r="FT24" i="4"/>
  <c r="FT28" i="4"/>
  <c r="FQ30" i="4" l="1"/>
  <c r="FR30" i="4" s="1"/>
  <c r="FT21" i="4"/>
  <c r="FS30" i="4" s="1"/>
  <c r="FU10" i="4" s="1"/>
  <c r="FV10" i="4" s="1"/>
  <c r="FU29" i="4" l="1"/>
  <c r="FV29" i="4" s="1"/>
  <c r="FU27" i="4"/>
  <c r="FV27" i="4" s="1"/>
  <c r="FU16" i="4"/>
  <c r="FV16" i="4" s="1"/>
  <c r="FU9" i="4"/>
  <c r="FV9" i="4" s="1"/>
  <c r="FU25" i="4"/>
  <c r="FV25" i="4" s="1"/>
  <c r="FU22" i="4"/>
  <c r="FV22" i="4" s="1"/>
  <c r="FU19" i="4"/>
  <c r="FV19" i="4" s="1"/>
  <c r="FU11" i="4"/>
  <c r="FV11" i="4" s="1"/>
  <c r="FU26" i="4"/>
  <c r="FV26" i="4" s="1"/>
  <c r="FU23" i="4"/>
  <c r="FV23" i="4" s="1"/>
  <c r="FU20" i="4"/>
  <c r="FV20" i="4" s="1"/>
  <c r="FU17" i="4"/>
  <c r="FV17" i="4" s="1"/>
  <c r="FU12" i="4"/>
  <c r="FV12" i="4" s="1"/>
  <c r="FU14" i="4"/>
  <c r="FV14" i="4" s="1"/>
  <c r="FU15" i="4"/>
  <c r="FV15" i="4" s="1"/>
  <c r="FU28" i="4"/>
  <c r="FV28" i="4" s="1"/>
  <c r="FU24" i="4"/>
  <c r="FV24" i="4" s="1"/>
  <c r="FU21" i="4"/>
  <c r="FV21" i="4" s="1"/>
  <c r="FU18" i="4"/>
  <c r="FV18" i="4" s="1"/>
  <c r="FU13" i="4"/>
  <c r="FV13" i="4" s="1"/>
  <c r="FV30" i="4" l="1"/>
  <c r="FW17" i="4" s="1"/>
  <c r="FW21" i="4" l="1"/>
  <c r="FW22" i="4"/>
  <c r="FW23" i="4"/>
  <c r="FZ23" i="4" s="1"/>
  <c r="FW27" i="4"/>
  <c r="FZ27" i="4" s="1"/>
  <c r="FW15" i="4"/>
  <c r="FZ15" i="4" s="1"/>
  <c r="FW12" i="4"/>
  <c r="FW28" i="4"/>
  <c r="FZ28" i="4" s="1"/>
  <c r="FW24" i="4"/>
  <c r="FZ24" i="4" s="1"/>
  <c r="FW14" i="4"/>
  <c r="FW29" i="4"/>
  <c r="FZ29" i="4" s="1"/>
  <c r="FW16" i="4"/>
  <c r="FZ16" i="4" s="1"/>
  <c r="FW19" i="4"/>
  <c r="FZ19" i="4" s="1"/>
  <c r="FW11" i="4"/>
  <c r="FW18" i="4"/>
  <c r="FZ18" i="4" s="1"/>
  <c r="FW20" i="4"/>
  <c r="FZ20" i="4" s="1"/>
  <c r="FW9" i="4"/>
  <c r="FZ9" i="4" s="1"/>
  <c r="FW26" i="4"/>
  <c r="FW25" i="4"/>
  <c r="FZ25" i="4" s="1"/>
  <c r="FW10" i="4"/>
  <c r="FZ10" i="4" s="1"/>
  <c r="FW13" i="4"/>
  <c r="FZ13" i="4" s="1"/>
  <c r="FZ14" i="4"/>
  <c r="FZ21" i="4"/>
  <c r="FZ17" i="4"/>
  <c r="FZ12" i="4"/>
  <c r="FZ11" i="4"/>
  <c r="FZ26" i="4"/>
  <c r="FZ22" i="4"/>
  <c r="FW30" i="4" l="1"/>
  <c r="FX30" i="4" s="1"/>
  <c r="FY30" i="4"/>
  <c r="GA9" i="4" l="1"/>
  <c r="GB9" i="4" s="1"/>
  <c r="GA10" i="4"/>
  <c r="GB10" i="4" s="1"/>
  <c r="GA12" i="4"/>
  <c r="GB12" i="4" s="1"/>
  <c r="GA11" i="4"/>
  <c r="GB11" i="4" s="1"/>
  <c r="GA13" i="4"/>
  <c r="GB13" i="4" s="1"/>
  <c r="GA15" i="4"/>
  <c r="GB15" i="4" s="1"/>
  <c r="GA14" i="4"/>
  <c r="GB14" i="4" s="1"/>
  <c r="GA17" i="4"/>
  <c r="GB17" i="4" s="1"/>
  <c r="GA19" i="4"/>
  <c r="GB19" i="4" s="1"/>
  <c r="GA20" i="4"/>
  <c r="GB20" i="4" s="1"/>
  <c r="GA22" i="4"/>
  <c r="GB22" i="4" s="1"/>
  <c r="GA16" i="4"/>
  <c r="GB16" i="4" s="1"/>
  <c r="GA18" i="4"/>
  <c r="GB18" i="4" s="1"/>
  <c r="GA21" i="4"/>
  <c r="GB21" i="4" s="1"/>
  <c r="GA23" i="4"/>
  <c r="GB23" i="4" s="1"/>
  <c r="GA25" i="4"/>
  <c r="GB25" i="4" s="1"/>
  <c r="GA27" i="4"/>
  <c r="GB27" i="4" s="1"/>
  <c r="GA24" i="4"/>
  <c r="GB24" i="4" s="1"/>
  <c r="GA26" i="4"/>
  <c r="GB26" i="4" s="1"/>
  <c r="GA29" i="4"/>
  <c r="GB29" i="4" s="1"/>
  <c r="GA28" i="4"/>
  <c r="GB28" i="4" s="1"/>
  <c r="GB30" i="4" l="1"/>
  <c r="GC9" i="4" l="1"/>
  <c r="GC14" i="4"/>
  <c r="GC18" i="4"/>
  <c r="GC17" i="4"/>
  <c r="GC26" i="4"/>
  <c r="GC27" i="4"/>
  <c r="GC20" i="4"/>
  <c r="GC28" i="4"/>
  <c r="GC24" i="4"/>
  <c r="GC11" i="4"/>
  <c r="GC15" i="4"/>
  <c r="GC19" i="4"/>
  <c r="GC29" i="4"/>
  <c r="GC12" i="4"/>
  <c r="GC13" i="4"/>
  <c r="GC21" i="4"/>
  <c r="GC22" i="4"/>
  <c r="GC10" i="4"/>
  <c r="GC16" i="4"/>
  <c r="GC23" i="4"/>
  <c r="GC25" i="4"/>
  <c r="GF23" i="4" l="1"/>
  <c r="GF21" i="4"/>
  <c r="GF19" i="4"/>
  <c r="GF28" i="4"/>
  <c r="GF17" i="4"/>
  <c r="GF13" i="4"/>
  <c r="GF15" i="4"/>
  <c r="GF20" i="4"/>
  <c r="GF18" i="4"/>
  <c r="GF16" i="4"/>
  <c r="GF10" i="4"/>
  <c r="GF12" i="4"/>
  <c r="GF11" i="4"/>
  <c r="GF27" i="4"/>
  <c r="GF14" i="4"/>
  <c r="GF25" i="4"/>
  <c r="GF22" i="4"/>
  <c r="GF29" i="4"/>
  <c r="GF24" i="4"/>
  <c r="GF26" i="4"/>
  <c r="GC30" i="4"/>
  <c r="GD30" i="4" s="1"/>
  <c r="GF9" i="4"/>
  <c r="GE30" i="4" l="1"/>
  <c r="GG9" i="4" s="1"/>
  <c r="GH9" i="4" s="1"/>
  <c r="GG26" i="4" l="1"/>
  <c r="GH26" i="4" s="1"/>
  <c r="GG25" i="4"/>
  <c r="GH25" i="4" s="1"/>
  <c r="GG17" i="4"/>
  <c r="GH17" i="4" s="1"/>
  <c r="GG23" i="4"/>
  <c r="GH23" i="4" s="1"/>
  <c r="GG22" i="4"/>
  <c r="GH22" i="4" s="1"/>
  <c r="GG14" i="4"/>
  <c r="GH14" i="4" s="1"/>
  <c r="GG12" i="4"/>
  <c r="GH12" i="4" s="1"/>
  <c r="GG16" i="4"/>
  <c r="GH16" i="4" s="1"/>
  <c r="GG11" i="4"/>
  <c r="GH11" i="4" s="1"/>
  <c r="GG24" i="4"/>
  <c r="GH24" i="4" s="1"/>
  <c r="GG29" i="4"/>
  <c r="GH29" i="4" s="1"/>
  <c r="GG21" i="4"/>
  <c r="GH21" i="4" s="1"/>
  <c r="GG20" i="4"/>
  <c r="GH20" i="4" s="1"/>
  <c r="GG15" i="4"/>
  <c r="GH15" i="4" s="1"/>
  <c r="GG10" i="4"/>
  <c r="GH10" i="4" s="1"/>
  <c r="GG28" i="4"/>
  <c r="GH28" i="4" s="1"/>
  <c r="GG27" i="4"/>
  <c r="GH27" i="4" s="1"/>
  <c r="GG18" i="4"/>
  <c r="GH18" i="4" s="1"/>
  <c r="GG19" i="4"/>
  <c r="GH19" i="4" s="1"/>
  <c r="GG13" i="4"/>
  <c r="GH13" i="4" s="1"/>
  <c r="GH30" i="4" l="1"/>
  <c r="GI18" i="4" s="1"/>
  <c r="GJ18" i="4" s="1"/>
  <c r="GK18" i="4" s="1"/>
  <c r="GQ18" i="4" l="1"/>
  <c r="GR18" i="4"/>
  <c r="GL18" i="4"/>
  <c r="GI24" i="4"/>
  <c r="GJ24" i="4" s="1"/>
  <c r="GK24" i="4" s="1"/>
  <c r="GI17" i="4"/>
  <c r="GJ17" i="4" s="1"/>
  <c r="GK17" i="4" s="1"/>
  <c r="GI19" i="4"/>
  <c r="GJ19" i="4" s="1"/>
  <c r="GK19" i="4" s="1"/>
  <c r="GI27" i="4"/>
  <c r="GJ27" i="4" s="1"/>
  <c r="GK27" i="4" s="1"/>
  <c r="GI23" i="4"/>
  <c r="GJ23" i="4" s="1"/>
  <c r="GK23" i="4" s="1"/>
  <c r="GI16" i="4"/>
  <c r="GJ16" i="4" s="1"/>
  <c r="GK16" i="4" s="1"/>
  <c r="GI25" i="4"/>
  <c r="GJ25" i="4" s="1"/>
  <c r="GK25" i="4" s="1"/>
  <c r="GI13" i="4"/>
  <c r="GJ13" i="4" s="1"/>
  <c r="GK13" i="4" s="1"/>
  <c r="GI28" i="4"/>
  <c r="GJ28" i="4" s="1"/>
  <c r="GK28" i="4" s="1"/>
  <c r="GI15" i="4"/>
  <c r="GJ15" i="4" s="1"/>
  <c r="GK15" i="4" s="1"/>
  <c r="GI21" i="4"/>
  <c r="GJ21" i="4" s="1"/>
  <c r="GK21" i="4" s="1"/>
  <c r="GI22" i="4"/>
  <c r="GJ22" i="4" s="1"/>
  <c r="GK22" i="4" s="1"/>
  <c r="GI12" i="4"/>
  <c r="GJ12" i="4" s="1"/>
  <c r="GK12" i="4" s="1"/>
  <c r="GI29" i="4"/>
  <c r="GJ29" i="4" s="1"/>
  <c r="GK29" i="4" s="1"/>
  <c r="GI14" i="4"/>
  <c r="GJ14" i="4" s="1"/>
  <c r="GK14" i="4" s="1"/>
  <c r="GI26" i="4"/>
  <c r="GJ26" i="4" s="1"/>
  <c r="GK26" i="4" s="1"/>
  <c r="GI10" i="4"/>
  <c r="GJ10" i="4" s="1"/>
  <c r="GK10" i="4" s="1"/>
  <c r="GI11" i="4"/>
  <c r="GJ11" i="4" s="1"/>
  <c r="GK11" i="4" s="1"/>
  <c r="GI9" i="4"/>
  <c r="GJ9" i="4" s="1"/>
  <c r="GI20" i="4"/>
  <c r="GJ20" i="4" s="1"/>
  <c r="GK20" i="4" s="1"/>
  <c r="GQ20" i="4" l="1"/>
  <c r="GR20" i="4"/>
  <c r="GQ13" i="4"/>
  <c r="GR13" i="4"/>
  <c r="GQ14" i="4"/>
  <c r="GR14" i="4"/>
  <c r="GQ21" i="4"/>
  <c r="GR21" i="4"/>
  <c r="GQ25" i="4"/>
  <c r="GR25" i="4"/>
  <c r="GQ19" i="4"/>
  <c r="GR19" i="4"/>
  <c r="GQ11" i="4"/>
  <c r="GR11" i="4"/>
  <c r="GQ29" i="4"/>
  <c r="GR29" i="4"/>
  <c r="GQ15" i="4"/>
  <c r="GR15" i="4"/>
  <c r="GQ16" i="4"/>
  <c r="GR16" i="4"/>
  <c r="GQ17" i="4"/>
  <c r="GR17" i="4"/>
  <c r="GQ10" i="4"/>
  <c r="GR10" i="4"/>
  <c r="GQ12" i="4"/>
  <c r="GR12" i="4"/>
  <c r="GQ28" i="4"/>
  <c r="GR28" i="4"/>
  <c r="GQ23" i="4"/>
  <c r="GR23" i="4"/>
  <c r="GQ24" i="4"/>
  <c r="GR24" i="4"/>
  <c r="GQ27" i="4"/>
  <c r="GR27" i="4"/>
  <c r="GQ22" i="4"/>
  <c r="GR22" i="4"/>
  <c r="GQ26" i="4"/>
  <c r="GR26" i="4"/>
  <c r="GL28" i="4"/>
  <c r="GL11" i="4"/>
  <c r="GL29" i="4"/>
  <c r="GL15" i="4"/>
  <c r="GL16" i="4"/>
  <c r="GL17" i="4"/>
  <c r="GL10" i="4"/>
  <c r="GL23" i="4"/>
  <c r="GL20" i="4"/>
  <c r="GL26" i="4"/>
  <c r="GL22" i="4"/>
  <c r="GL13" i="4"/>
  <c r="GL27" i="4"/>
  <c r="GL12" i="4"/>
  <c r="GL24" i="4"/>
  <c r="GL14" i="4"/>
  <c r="GL21" i="4"/>
  <c r="GL25" i="4"/>
  <c r="GL19" i="4"/>
  <c r="GI30" i="4"/>
  <c r="GK9" i="4"/>
  <c r="GJ30" i="4"/>
  <c r="GK30" i="4" s="1"/>
  <c r="GQ9" i="4" l="1"/>
  <c r="GR9" i="4"/>
  <c r="GQ30" i="4"/>
  <c r="GR30" i="4"/>
  <c r="GL9" i="4"/>
</calcChain>
</file>

<file path=xl/sharedStrings.xml><?xml version="1.0" encoding="utf-8"?>
<sst xmlns="http://schemas.openxmlformats.org/spreadsheetml/2006/main" count="2162" uniqueCount="221">
  <si>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</si>
  <si>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</si>
  <si>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</si>
  <si>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</si>
  <si>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</si>
  <si>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</si>
  <si>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</si>
  <si>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</si>
  <si>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</si>
  <si>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</si>
  <si>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</si>
  <si>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</si>
  <si>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</si>
  <si>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</si>
  <si>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</si>
  <si>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</si>
  <si>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</si>
  <si>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</si>
  <si>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</si>
  <si>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</si>
  <si>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</si>
  <si>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</si>
  <si>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</si>
  <si>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</si>
  <si>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</si>
  <si>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</si>
  <si>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</si>
  <si>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</si>
  <si>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</si>
  <si>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</si>
  <si>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</si>
  <si>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</si>
  <si>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</si>
  <si>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</si>
  <si>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</si>
  <si>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</si>
  <si>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</si>
  <si>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</si>
  <si>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</si>
  <si>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</si>
  <si>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</si>
  <si>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</si>
  <si>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</si>
  <si>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</si>
  <si>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</si>
  <si>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</si>
  <si>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</si>
  <si>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</si>
  <si>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</si>
  <si>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</si>
  <si>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</si>
  <si>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</si>
  <si>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</si>
  <si>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</si>
  <si>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</si>
  <si>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</si>
  <si>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</si>
  <si>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</si>
  <si>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</si>
  <si>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</si>
  <si>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</si>
  <si>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</si>
  <si>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</si>
  <si>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</si>
  <si>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</si>
  <si>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</si>
  <si>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</si>
  <si>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</si>
  <si>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</si>
  <si>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</si>
  <si>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</si>
  <si>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</si>
  <si>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</si>
  <si>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 xml:space="preserve">Численность населения </t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</si>
  <si>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</si>
  <si>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</si>
  <si>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</si>
  <si>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</si>
  <si>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</si>
  <si>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</si>
  <si>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</si>
  <si>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</si>
  <si>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</si>
  <si>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</si>
  <si>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</si>
  <si>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</si>
  <si>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</si>
  <si>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</si>
  <si>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</si>
  <si>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</si>
  <si>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</si>
  <si>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</si>
  <si>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</si>
  <si>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</si>
  <si>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</si>
  <si>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</si>
  <si>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</si>
  <si>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</si>
  <si>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</si>
  <si>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</si>
  <si>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</si>
  <si>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</si>
  <si>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</si>
  <si>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</si>
  <si>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</si>
  <si>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</si>
  <si>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</si>
  <si>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</si>
  <si>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</si>
  <si>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</si>
  <si>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</si>
  <si>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</si>
  <si>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</si>
  <si>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</si>
  <si>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</si>
  <si>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</si>
  <si>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</si>
  <si>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</si>
  <si>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</si>
  <si>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</si>
  <si>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</si>
  <si>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</si>
  <si>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</si>
  <si>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</si>
  <si>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</si>
  <si>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</si>
  <si>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</si>
  <si>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</si>
  <si>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</si>
  <si>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</si>
  <si>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</si>
  <si>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</si>
  <si>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</si>
  <si>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</si>
  <si>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</si>
  <si>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</si>
  <si>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</si>
  <si>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</si>
  <si>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</si>
  <si>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</si>
  <si>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</si>
  <si>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</si>
  <si>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</si>
  <si>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</si>
  <si>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</si>
  <si>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</si>
  <si>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</si>
  <si>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</si>
  <si>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</si>
  <si>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</si>
  <si>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</si>
  <si>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</si>
  <si>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</si>
  <si>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</si>
  <si>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</si>
  <si>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</si>
  <si>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</si>
  <si>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</si>
  <si>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</si>
  <si>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</si>
  <si>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</si>
  <si>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</si>
  <si>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</si>
  <si>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</si>
  <si>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</si>
  <si>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</si>
  <si>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</si>
  <si>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</si>
  <si>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</si>
  <si>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</si>
  <si>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</si>
  <si>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</si>
  <si>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</si>
  <si>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</si>
  <si>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</si>
  <si>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</si>
  <si>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</si>
  <si>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</si>
  <si>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Атирское сельское поселение</t>
  </si>
  <si>
    <t>Больше-Туралинское сельское поселение</t>
  </si>
  <si>
    <t>Васисское сельское поселение</t>
  </si>
  <si>
    <t>Вставское сельское поселение</t>
  </si>
  <si>
    <t>Егоровское сельское поселение</t>
  </si>
  <si>
    <t>Екатерининское сельское поселение</t>
  </si>
  <si>
    <t>Ермаковское сельское поселение</t>
  </si>
  <si>
    <t>Заливинское сельское поселение</t>
  </si>
  <si>
    <t>Литковское сельское поселение</t>
  </si>
  <si>
    <t>Ложниковское сельское поселение</t>
  </si>
  <si>
    <t>Мартюшевское сельское поселение</t>
  </si>
  <si>
    <t>Междуреченское сельское поселение</t>
  </si>
  <si>
    <t>Нагорно-Ивановское сельское поселение</t>
  </si>
  <si>
    <t>Орловское сельское поселение</t>
  </si>
  <si>
    <t>Пологрудовское сельское поселение</t>
  </si>
  <si>
    <t>Самсоновское сельское поселение</t>
  </si>
  <si>
    <t>Соускановское сельское поселение</t>
  </si>
  <si>
    <t>Усть -Тарское сельское поселение</t>
  </si>
  <si>
    <t>Чекрушанское сельское поселение</t>
  </si>
  <si>
    <t>Черняевское сельское поселение</t>
  </si>
  <si>
    <t>Тарское городское поселение</t>
  </si>
  <si>
    <t>км.</t>
  </si>
  <si>
    <t>гр.</t>
  </si>
  <si>
    <t>ед.</t>
  </si>
  <si>
    <t xml:space="preserve"> К2 (коэффициент, учитывающий показатель группы поселения по численности населения)</t>
  </si>
  <si>
    <t xml:space="preserve"> К1 (коэффициент по удаленности территории)</t>
  </si>
  <si>
    <t xml:space="preserve"> К3 (коэффициент по количеству населенных пунктов в поселении)</t>
  </si>
  <si>
    <t>К1=1 + (Спi / min Спi)</t>
  </si>
  <si>
    <t>К2=1 + (Гпi / min Гпi)</t>
  </si>
  <si>
    <t>К3=1 + ( Рпi / min Рпi)</t>
  </si>
  <si>
    <t>на 01.01.2023</t>
  </si>
  <si>
    <t xml:space="preserve">Гпi - группа поселения исходя из численности постоянного населения, определяется в следующих значениях:
от 1 до 280 человек 8
от 281 до 580 человек 7
от 581 до 880 человек 6
от 881 до 1180 человек 5
от 1181 до 1480 человек 4
от 1481 до 1780 человек 3
от 1781 до 2080 человек  2
свыше 2081 человек 1
</t>
  </si>
  <si>
    <t>2024 год</t>
  </si>
  <si>
    <t>на 01.01.2024</t>
  </si>
  <si>
    <t>2025 год</t>
  </si>
  <si>
    <t>Спi (удаленность территории поселения) на 01.01.2024</t>
  </si>
  <si>
    <t>Гпi (группа поселения исходя из численности) на 01.01.2024</t>
  </si>
  <si>
    <t>Рпi (количество населенных пунктов в поселении) на 01.01.2024</t>
  </si>
  <si>
    <t>Динамика к 2024</t>
  </si>
  <si>
    <t>%</t>
  </si>
  <si>
    <t>Объем дотаций, учтенный в Решении о бюджете 2024г</t>
  </si>
  <si>
    <t>Объем дотаций, учтенный в Решении о бюджете 2025г</t>
  </si>
  <si>
    <t>Расчет размера дотации бюджетам поселений, входящих в состав Тарского муниципального района Омской области, на выравнивание бюджетной обеспеченности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</si>
</sst>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.0"/>
  </numFmts>
  <fonts count="43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31" fillId="23" borderId="7" applyNumberForma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1" fillId="49" borderId="11">
      <alignment horizontal="left" vertical="top" wrapText="1"/>
    </xf>
  </cellStyleXfs>
  <cellXfs count="307">
    <xf numFmtId="0" fontId="0" fillId="0" borderId="0" xfId="0"/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164" fontId="20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center" vertical="center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64" fontId="19" fillId="0" borderId="11" xfId="0" applyNumberFormat="1" applyFont="1" applyFill="1" applyBorder="1" applyAlignment="1">
      <alignment horizontal="center" vertical="center"/>
    </xf>
    <xf numFmtId="166" fontId="19" fillId="0" borderId="0" xfId="0" applyNumberFormat="1" applyFont="1" applyAlignment="1">
      <alignment vertical="top" wrapText="1"/>
    </xf>
    <xf numFmtId="0" fontId="22" fillId="0" borderId="27" xfId="0" applyFont="1" applyFill="1" applyBorder="1" applyAlignment="1">
      <alignment vertical="center"/>
    </xf>
    <xf numFmtId="0" fontId="22" fillId="0" borderId="18" xfId="0" applyFont="1" applyFill="1" applyBorder="1" applyAlignment="1">
      <alignment vertical="center"/>
    </xf>
    <xf numFmtId="3" fontId="22" fillId="0" borderId="18" xfId="0" applyNumberFormat="1" applyFont="1" applyFill="1" applyBorder="1" applyAlignment="1">
      <alignment horizontal="center" vertical="center"/>
    </xf>
    <xf numFmtId="171" fontId="19" fillId="0" borderId="0" xfId="0" applyNumberFormat="1" applyFont="1" applyAlignment="1">
      <alignment vertical="center"/>
    </xf>
    <xf numFmtId="172" fontId="19" fillId="0" borderId="0" xfId="0" applyNumberFormat="1" applyFont="1" applyAlignment="1">
      <alignment vertical="center"/>
    </xf>
    <xf numFmtId="0" fontId="19" fillId="26" borderId="0" xfId="0" applyFont="1" applyFill="1" applyAlignment="1">
      <alignment vertical="center"/>
    </xf>
    <xf numFmtId="0" fontId="19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3" fillId="26" borderId="0" xfId="0" applyFont="1" applyFill="1" applyAlignment="1">
      <alignment horizontal="center" vertical="center"/>
    </xf>
    <xf numFmtId="0" fontId="22" fillId="26" borderId="0" xfId="0" applyFont="1" applyFill="1" applyAlignment="1">
      <alignment vertical="center"/>
    </xf>
    <xf numFmtId="0" fontId="19" fillId="27" borderId="11" xfId="0" applyFont="1" applyFill="1" applyBorder="1" applyAlignment="1">
      <alignment horizontal="center" vertical="center"/>
    </xf>
    <xf numFmtId="168" fontId="19" fillId="26" borderId="11" xfId="0" applyNumberFormat="1" applyFont="1" applyFill="1" applyBorder="1" applyAlignment="1">
      <alignment vertical="center"/>
    </xf>
    <xf numFmtId="170" fontId="19" fillId="26" borderId="11" xfId="0" applyNumberFormat="1" applyFont="1" applyFill="1" applyBorder="1" applyAlignment="1">
      <alignment vertical="center"/>
    </xf>
    <xf numFmtId="169" fontId="19" fillId="26" borderId="11" xfId="0" applyNumberFormat="1" applyFont="1" applyFill="1" applyBorder="1" applyAlignment="1">
      <alignment vertical="center"/>
    </xf>
    <xf numFmtId="167" fontId="19" fillId="26" borderId="11" xfId="0" applyNumberFormat="1" applyFont="1" applyFill="1" applyBorder="1" applyAlignment="1">
      <alignment vertical="center"/>
    </xf>
    <xf numFmtId="171" fontId="19" fillId="26" borderId="11" xfId="0" applyNumberFormat="1" applyFont="1" applyFill="1" applyBorder="1" applyAlignment="1">
      <alignment horizontal="right" vertical="center"/>
    </xf>
    <xf numFmtId="0" fontId="22" fillId="25" borderId="0" xfId="0" applyFont="1" applyFill="1" applyBorder="1" applyAlignment="1">
      <alignment vertical="center" wrapText="1"/>
    </xf>
    <xf numFmtId="0" fontId="23" fillId="30" borderId="27" xfId="0" applyFont="1" applyFill="1" applyBorder="1" applyAlignment="1">
      <alignment horizontal="center" vertical="center"/>
    </xf>
    <xf numFmtId="0" fontId="23" fillId="30" borderId="18" xfId="0" applyFont="1" applyFill="1" applyBorder="1" applyAlignment="1">
      <alignment horizontal="center" vertical="center"/>
    </xf>
    <xf numFmtId="0" fontId="23" fillId="30" borderId="19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3" fontId="33" fillId="0" borderId="27" xfId="0" applyNumberFormat="1" applyFont="1" applyFill="1" applyBorder="1" applyAlignment="1">
      <alignment horizontal="center" vertical="center" wrapText="1"/>
    </xf>
    <xf numFmtId="3" fontId="33" fillId="0" borderId="18" xfId="0" applyNumberFormat="1" applyFont="1" applyFill="1" applyBorder="1" applyAlignment="1">
      <alignment horizontal="center" vertical="center" wrapText="1"/>
    </xf>
    <xf numFmtId="167" fontId="22" fillId="28" borderId="18" xfId="0" applyNumberFormat="1" applyFont="1" applyFill="1" applyBorder="1" applyAlignment="1">
      <alignment horizontal="right" vertical="center"/>
    </xf>
    <xf numFmtId="166" fontId="22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2" fillId="28" borderId="18" xfId="0" applyNumberFormat="1" applyFont="1" applyFill="1" applyBorder="1" applyAlignment="1">
      <alignment horizontal="center" vertical="center"/>
    </xf>
    <xf numFmtId="0" fontId="19" fillId="27" borderId="17" xfId="0" applyFont="1" applyFill="1" applyBorder="1" applyAlignment="1">
      <alignment horizontal="center" vertical="center"/>
    </xf>
    <xf numFmtId="168" fontId="19" fillId="26" borderId="17" xfId="0" applyNumberFormat="1" applyFont="1" applyFill="1" applyBorder="1" applyAlignment="1">
      <alignment vertical="center"/>
    </xf>
    <xf numFmtId="170" fontId="19" fillId="26" borderId="17" xfId="0" applyNumberFormat="1" applyFont="1" applyFill="1" applyBorder="1" applyAlignment="1">
      <alignment vertical="center"/>
    </xf>
    <xf numFmtId="169" fontId="19" fillId="26" borderId="17" xfId="0" applyNumberFormat="1" applyFont="1" applyFill="1" applyBorder="1" applyAlignment="1">
      <alignment vertical="center"/>
    </xf>
    <xf numFmtId="171" fontId="19" fillId="26" borderId="17" xfId="0" applyNumberFormat="1" applyFont="1" applyFill="1" applyBorder="1" applyAlignment="1">
      <alignment horizontal="right" vertical="center"/>
    </xf>
    <xf numFmtId="167" fontId="19" fillId="26" borderId="17" xfId="0" applyNumberFormat="1" applyFont="1" applyFill="1" applyBorder="1" applyAlignment="1">
      <alignment vertical="center"/>
    </xf>
    <xf numFmtId="0" fontId="32" fillId="30" borderId="43" xfId="0" applyFont="1" applyFill="1" applyBorder="1" applyAlignment="1">
      <alignment horizontal="center" vertical="center" wrapText="1"/>
    </xf>
    <xf numFmtId="0" fontId="23" fillId="30" borderId="41" xfId="0" applyFont="1" applyFill="1" applyBorder="1" applyAlignment="1">
      <alignment horizontal="center" vertical="center"/>
    </xf>
    <xf numFmtId="0" fontId="23" fillId="30" borderId="25" xfId="0" applyFont="1" applyFill="1" applyBorder="1" applyAlignment="1">
      <alignment horizontal="center" vertical="center"/>
    </xf>
    <xf numFmtId="0" fontId="23" fillId="35" borderId="53" xfId="0" applyFont="1" applyFill="1" applyBorder="1" applyAlignment="1">
      <alignment horizontal="center" vertical="center"/>
    </xf>
    <xf numFmtId="0" fontId="23" fillId="30" borderId="54" xfId="0" applyFont="1" applyFill="1" applyBorder="1" applyAlignment="1">
      <alignment horizontal="center" vertical="center"/>
    </xf>
    <xf numFmtId="0" fontId="23" fillId="30" borderId="55" xfId="0" applyFont="1" applyFill="1" applyBorder="1" applyAlignment="1">
      <alignment horizontal="center" vertical="center"/>
    </xf>
    <xf numFmtId="0" fontId="32" fillId="26" borderId="27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2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9" fillId="26" borderId="25" xfId="0" applyFont="1" applyFill="1" applyBorder="1" applyAlignment="1">
      <alignment horizontal="center" vertical="center" wrapText="1"/>
    </xf>
    <xf numFmtId="0" fontId="19" fillId="26" borderId="54" xfId="0" applyFont="1" applyFill="1" applyBorder="1" applyAlignment="1">
      <alignment horizontal="center" vertical="center" wrapText="1"/>
    </xf>
    <xf numFmtId="0" fontId="19" fillId="26" borderId="29" xfId="0" applyFont="1" applyFill="1" applyBorder="1" applyAlignment="1">
      <alignment horizontal="center" vertical="center" textRotation="90" wrapText="1"/>
    </xf>
    <xf numFmtId="0" fontId="19" fillId="26" borderId="30" xfId="0" applyFont="1" applyFill="1" applyBorder="1" applyAlignment="1">
      <alignment horizontal="center" vertical="center" textRotation="90" wrapText="1"/>
    </xf>
    <xf numFmtId="0" fontId="19" fillId="26" borderId="31" xfId="0" applyFont="1" applyFill="1" applyBorder="1" applyAlignment="1">
      <alignment horizontal="center" vertical="center" textRotation="90" wrapText="1"/>
    </xf>
    <xf numFmtId="0" fontId="22" fillId="37" borderId="20" xfId="0" applyFont="1" applyFill="1" applyBorder="1" applyAlignment="1">
      <alignment horizontal="center" vertical="center" wrapText="1"/>
    </xf>
    <xf numFmtId="0" fontId="19" fillId="34" borderId="53" xfId="0" applyFont="1" applyFill="1" applyBorder="1" applyAlignment="1">
      <alignment horizontal="center" vertical="center" wrapText="1"/>
    </xf>
    <xf numFmtId="0" fontId="19" fillId="26" borderId="41" xfId="0" applyFont="1" applyFill="1" applyBorder="1" applyAlignment="1">
      <alignment horizontal="center" vertical="center" wrapText="1"/>
    </xf>
    <xf numFmtId="0" fontId="19" fillId="26" borderId="55" xfId="0" applyFont="1" applyFill="1" applyBorder="1" applyAlignment="1">
      <alignment horizontal="center" vertical="center" wrapText="1"/>
    </xf>
    <xf numFmtId="171" fontId="19" fillId="26" borderId="36" xfId="0" applyNumberFormat="1" applyFont="1" applyFill="1" applyBorder="1" applyAlignment="1">
      <alignment horizontal="center" vertical="center"/>
    </xf>
    <xf numFmtId="4" fontId="22" fillId="28" borderId="27" xfId="0" applyNumberFormat="1" applyFont="1" applyFill="1" applyBorder="1" applyAlignment="1">
      <alignment horizontal="center" vertical="center"/>
    </xf>
    <xf numFmtId="0" fontId="19" fillId="27" borderId="40" xfId="0" applyFont="1" applyFill="1" applyBorder="1" applyAlignment="1">
      <alignment horizontal="center" vertical="center"/>
    </xf>
    <xf numFmtId="0" fontId="19" fillId="27" borderId="36" xfId="0" applyFont="1" applyFill="1" applyBorder="1" applyAlignment="1">
      <alignment horizontal="center" vertical="center"/>
    </xf>
    <xf numFmtId="167" fontId="19" fillId="34" borderId="49" xfId="0" applyNumberFormat="1" applyFont="1" applyFill="1" applyBorder="1" applyAlignment="1">
      <alignment vertical="center"/>
    </xf>
    <xf numFmtId="167" fontId="22" fillId="36" borderId="32" xfId="0" applyNumberFormat="1" applyFont="1" applyFill="1" applyBorder="1" applyAlignment="1">
      <alignment vertical="center"/>
    </xf>
    <xf numFmtId="167" fontId="19" fillId="26" borderId="42" xfId="0" applyNumberFormat="1" applyFont="1" applyFill="1" applyBorder="1" applyAlignment="1">
      <alignment vertical="center"/>
    </xf>
    <xf numFmtId="167" fontId="19" fillId="26" borderId="12" xfId="0" applyNumberFormat="1" applyFont="1" applyFill="1" applyBorder="1" applyAlignment="1">
      <alignment vertical="center"/>
    </xf>
    <xf numFmtId="167" fontId="22" fillId="28" borderId="19" xfId="0" applyNumberFormat="1" applyFont="1" applyFill="1" applyBorder="1" applyAlignment="1">
      <alignment horizontal="right" vertical="center"/>
    </xf>
    <xf numFmtId="0" fontId="19" fillId="26" borderId="46" xfId="0" applyFont="1" applyFill="1" applyBorder="1" applyAlignment="1">
      <alignment horizontal="center" vertical="center" textRotation="90" wrapText="1"/>
    </xf>
    <xf numFmtId="167" fontId="22" fillId="28" borderId="27" xfId="0" applyNumberFormat="1" applyFont="1" applyFill="1" applyBorder="1" applyAlignment="1">
      <alignment horizontal="right" vertical="center"/>
    </xf>
    <xf numFmtId="0" fontId="32" fillId="0" borderId="49" xfId="0" applyFont="1" applyFill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3" fontId="33" fillId="0" borderId="47" xfId="0" applyNumberFormat="1" applyFont="1" applyFill="1" applyBorder="1" applyAlignment="1">
      <alignment horizontal="center" vertical="center" wrapText="1"/>
    </xf>
    <xf numFmtId="3" fontId="33" fillId="31" borderId="32" xfId="0" applyNumberFormat="1" applyFont="1" applyFill="1" applyBorder="1" applyAlignment="1">
      <alignment horizontal="center" vertical="center" wrapText="1"/>
    </xf>
    <xf numFmtId="167" fontId="22" fillId="46" borderId="11" xfId="0" applyNumberFormat="1" applyFont="1" applyFill="1" applyBorder="1" applyAlignment="1">
      <alignment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32" xfId="0" applyFont="1" applyFill="1" applyBorder="1" applyAlignment="1">
      <alignment horizontal="center" vertical="center" wrapText="1"/>
    </xf>
    <xf numFmtId="0" fontId="23" fillId="30" borderId="53" xfId="0" applyFont="1" applyFill="1" applyBorder="1" applyAlignment="1">
      <alignment horizontal="center" vertical="center"/>
    </xf>
    <xf numFmtId="0" fontId="29" fillId="28" borderId="32" xfId="0" applyFont="1" applyFill="1" applyBorder="1" applyAlignment="1">
      <alignment wrapText="1"/>
    </xf>
    <xf numFmtId="0" fontId="19" fillId="26" borderId="26" xfId="0" applyFont="1" applyFill="1" applyBorder="1" applyAlignment="1">
      <alignment horizontal="center" vertical="center" wrapText="1"/>
    </xf>
    <xf numFmtId="0" fontId="32" fillId="26" borderId="62" xfId="0" applyFont="1" applyFill="1" applyBorder="1" applyAlignment="1">
      <alignment horizontal="center" vertical="center" wrapText="1"/>
    </xf>
    <xf numFmtId="0" fontId="23" fillId="30" borderId="26" xfId="0" applyFont="1" applyFill="1" applyBorder="1" applyAlignment="1">
      <alignment horizontal="center" vertical="center"/>
    </xf>
    <xf numFmtId="168" fontId="19" fillId="26" borderId="21" xfId="0" applyNumberFormat="1" applyFont="1" applyFill="1" applyBorder="1" applyAlignment="1">
      <alignment vertical="center"/>
    </xf>
    <xf numFmtId="168" fontId="19" fillId="26" borderId="13" xfId="0" applyNumberFormat="1" applyFont="1" applyFill="1" applyBorder="1" applyAlignment="1">
      <alignment vertical="center"/>
    </xf>
    <xf numFmtId="168" fontId="22" fillId="28" borderId="28" xfId="0" applyNumberFormat="1" applyFont="1" applyFill="1" applyBorder="1" applyAlignment="1">
      <alignment horizontal="right" vertical="center"/>
    </xf>
    <xf numFmtId="165" fontId="22" fillId="28" borderId="27" xfId="0" applyNumberFormat="1" applyFont="1" applyFill="1" applyBorder="1" applyAlignment="1">
      <alignment horizontal="right" vertical="center"/>
    </xf>
    <xf numFmtId="0" fontId="19" fillId="26" borderId="52" xfId="0" applyFont="1" applyFill="1" applyBorder="1" applyAlignment="1">
      <alignment horizontal="center" vertical="center" wrapText="1"/>
    </xf>
    <xf numFmtId="0" fontId="32" fillId="26" borderId="47" xfId="0" applyFont="1" applyFill="1" applyBorder="1" applyAlignment="1">
      <alignment horizontal="center" vertical="center" wrapText="1"/>
    </xf>
    <xf numFmtId="0" fontId="23" fillId="30" borderId="52" xfId="0" applyFont="1" applyFill="1" applyBorder="1" applyAlignment="1">
      <alignment horizontal="center" vertical="center"/>
    </xf>
    <xf numFmtId="0" fontId="19" fillId="27" borderId="24" xfId="0" applyFont="1" applyFill="1" applyBorder="1" applyAlignment="1">
      <alignment horizontal="center" vertical="center"/>
    </xf>
    <xf numFmtId="0" fontId="19" fillId="27" borderId="14" xfId="0" applyFont="1" applyFill="1" applyBorder="1" applyAlignment="1">
      <alignment horizontal="center" vertical="center"/>
    </xf>
    <xf numFmtId="0" fontId="19" fillId="39" borderId="53" xfId="0" applyFont="1" applyFill="1" applyBorder="1" applyAlignment="1">
      <alignment horizontal="center" vertical="center" wrapText="1"/>
    </xf>
    <xf numFmtId="0" fontId="32" fillId="39" borderId="32" xfId="0" applyFont="1" applyFill="1" applyBorder="1" applyAlignment="1">
      <alignment horizontal="center" vertical="center" wrapText="1"/>
    </xf>
    <xf numFmtId="0" fontId="23" fillId="40" borderId="53" xfId="0" applyFont="1" applyFill="1" applyBorder="1" applyAlignment="1">
      <alignment horizontal="center" vertical="center"/>
    </xf>
    <xf numFmtId="170" fontId="19" fillId="39" borderId="49" xfId="0" applyNumberFormat="1" applyFont="1" applyFill="1" applyBorder="1" applyAlignment="1">
      <alignment vertical="center"/>
    </xf>
    <xf numFmtId="166" fontId="22" fillId="41" borderId="32" xfId="0" applyNumberFormat="1" applyFont="1" applyFill="1" applyBorder="1" applyAlignment="1">
      <alignment horizontal="center" vertical="center" wrapText="1"/>
    </xf>
    <xf numFmtId="165" fontId="30" fillId="47" borderId="27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30" fillId="0" borderId="64" xfId="0" applyNumberFormat="1" applyFont="1" applyFill="1" applyBorder="1" applyAlignment="1">
      <alignment horizontal="right" vertical="center"/>
    </xf>
    <xf numFmtId="0" fontId="22" fillId="25" borderId="59" xfId="0" applyFont="1" applyFill="1" applyBorder="1" applyAlignment="1">
      <alignment horizontal="left" vertical="center" wrapText="1"/>
    </xf>
    <xf numFmtId="167" fontId="19" fillId="26" borderId="24" xfId="0" applyNumberFormat="1" applyFont="1" applyFill="1" applyBorder="1" applyAlignment="1">
      <alignment vertical="center"/>
    </xf>
    <xf numFmtId="167" fontId="19" fillId="26" borderId="14" xfId="0" applyNumberFormat="1" applyFont="1" applyFill="1" applyBorder="1" applyAlignment="1">
      <alignment vertical="center"/>
    </xf>
    <xf numFmtId="167" fontId="19" fillId="0" borderId="0" xfId="0" applyNumberFormat="1" applyFont="1" applyAlignment="1">
      <alignment vertical="center"/>
    </xf>
    <xf numFmtId="0" fontId="19" fillId="26" borderId="30" xfId="0" applyFont="1" applyFill="1" applyBorder="1" applyAlignment="1">
      <alignment horizontal="center" vertical="center" textRotation="90" wrapText="1"/>
    </xf>
    <xf numFmtId="0" fontId="19" fillId="26" borderId="46" xfId="0" applyFont="1" applyFill="1" applyBorder="1" applyAlignment="1">
      <alignment horizontal="center" vertical="center" textRotation="90" wrapText="1"/>
    </xf>
    <xf numFmtId="0" fontId="19" fillId="26" borderId="30" xfId="0" applyFont="1" applyFill="1" applyBorder="1" applyAlignment="1">
      <alignment horizontal="center" vertical="center" textRotation="90" wrapText="1"/>
    </xf>
    <xf numFmtId="0" fontId="19" fillId="26" borderId="30" xfId="0" applyFont="1" applyFill="1" applyBorder="1" applyAlignment="1">
      <alignment horizontal="center" vertical="center" textRotation="90" wrapText="1"/>
    </xf>
    <xf numFmtId="0" fontId="19" fillId="26" borderId="46" xfId="0" applyFont="1" applyFill="1" applyBorder="1" applyAlignment="1">
      <alignment horizontal="center" vertical="center" textRotation="90" wrapText="1"/>
    </xf>
    <xf numFmtId="0" fontId="32" fillId="0" borderId="51" xfId="0" applyFont="1" applyBorder="1" applyAlignment="1">
      <alignment horizontal="center" vertical="center"/>
    </xf>
    <xf numFmtId="171" fontId="19" fillId="0" borderId="35" xfId="0" applyNumberFormat="1" applyFont="1" applyFill="1" applyBorder="1" applyAlignment="1">
      <alignment horizontal="center" vertical="center" wrapText="1"/>
    </xf>
    <xf numFmtId="171" fontId="19" fillId="0" borderId="12" xfId="0" applyNumberFormat="1" applyFont="1" applyFill="1" applyBorder="1" applyAlignment="1">
      <alignment horizontal="center" vertical="center" wrapText="1"/>
    </xf>
    <xf numFmtId="171" fontId="19" fillId="0" borderId="12" xfId="0" applyNumberFormat="1" applyFont="1" applyBorder="1" applyAlignment="1">
      <alignment horizontal="center" vertical="center" wrapText="1"/>
    </xf>
    <xf numFmtId="0" fontId="19" fillId="27" borderId="37" xfId="0" applyFont="1" applyFill="1" applyBorder="1" applyAlignment="1">
      <alignment horizontal="center" vertical="center"/>
    </xf>
    <xf numFmtId="168" fontId="19" fillId="26" borderId="67" xfId="0" applyNumberFormat="1" applyFont="1" applyFill="1" applyBorder="1" applyAlignment="1">
      <alignment vertical="center"/>
    </xf>
    <xf numFmtId="168" fontId="19" fillId="26" borderId="15" xfId="0" applyNumberFormat="1" applyFont="1" applyFill="1" applyBorder="1" applyAlignment="1">
      <alignment vertical="center"/>
    </xf>
    <xf numFmtId="170" fontId="19" fillId="26" borderId="15" xfId="0" applyNumberFormat="1" applyFont="1" applyFill="1" applyBorder="1" applyAlignment="1">
      <alignment vertical="center"/>
    </xf>
    <xf numFmtId="0" fontId="19" fillId="27" borderId="66" xfId="0" applyFont="1" applyFill="1" applyBorder="1" applyAlignment="1">
      <alignment horizontal="center" vertical="center"/>
    </xf>
    <xf numFmtId="170" fontId="19" fillId="39" borderId="65" xfId="0" applyNumberFormat="1" applyFont="1" applyFill="1" applyBorder="1" applyAlignment="1">
      <alignment vertical="center"/>
    </xf>
    <xf numFmtId="167" fontId="19" fillId="34" borderId="65" xfId="0" applyNumberFormat="1" applyFont="1" applyFill="1" applyBorder="1" applyAlignment="1">
      <alignment vertical="center"/>
    </xf>
    <xf numFmtId="171" fontId="19" fillId="26" borderId="37" xfId="0" applyNumberFormat="1" applyFont="1" applyFill="1" applyBorder="1" applyAlignment="1">
      <alignment horizontal="center" vertical="center"/>
    </xf>
    <xf numFmtId="0" fontId="19" fillId="27" borderId="15" xfId="0" applyFont="1" applyFill="1" applyBorder="1" applyAlignment="1">
      <alignment horizontal="center" vertical="center"/>
    </xf>
    <xf numFmtId="169" fontId="19" fillId="26" borderId="15" xfId="0" applyNumberFormat="1" applyFont="1" applyFill="1" applyBorder="1" applyAlignment="1">
      <alignment vertical="center"/>
    </xf>
    <xf numFmtId="167" fontId="19" fillId="26" borderId="16" xfId="0" applyNumberFormat="1" applyFont="1" applyFill="1" applyBorder="1" applyAlignment="1">
      <alignment vertical="center"/>
    </xf>
    <xf numFmtId="171" fontId="19" fillId="26" borderId="15" xfId="0" applyNumberFormat="1" applyFont="1" applyFill="1" applyBorder="1" applyAlignment="1">
      <alignment horizontal="right" vertical="center"/>
    </xf>
    <xf numFmtId="167" fontId="19" fillId="26" borderId="66" xfId="0" applyNumberFormat="1" applyFont="1" applyFill="1" applyBorder="1" applyAlignment="1">
      <alignment vertical="center"/>
    </xf>
    <xf numFmtId="167" fontId="22" fillId="28" borderId="25" xfId="0" applyNumberFormat="1" applyFont="1" applyFill="1" applyBorder="1" applyAlignment="1">
      <alignment horizontal="right" vertical="center"/>
    </xf>
    <xf numFmtId="0" fontId="19" fillId="27" borderId="22" xfId="0" applyFont="1" applyFill="1" applyBorder="1" applyAlignment="1">
      <alignment horizontal="center" vertical="center"/>
    </xf>
    <xf numFmtId="0" fontId="19" fillId="27" borderId="49" xfId="0" applyFont="1" applyFill="1" applyBorder="1" applyAlignment="1">
      <alignment horizontal="center" vertical="center"/>
    </xf>
    <xf numFmtId="0" fontId="19" fillId="27" borderId="65" xfId="0" applyFont="1" applyFill="1" applyBorder="1" applyAlignment="1">
      <alignment horizontal="center" vertical="center"/>
    </xf>
    <xf numFmtId="170" fontId="19" fillId="39" borderId="22" xfId="0" applyNumberFormat="1" applyFont="1" applyFill="1" applyBorder="1" applyAlignment="1">
      <alignment vertical="center"/>
    </xf>
    <xf numFmtId="167" fontId="19" fillId="34" borderId="22" xfId="0" applyNumberFormat="1" applyFont="1" applyFill="1" applyBorder="1" applyAlignment="1">
      <alignment vertical="center"/>
    </xf>
    <xf numFmtId="0" fontId="19" fillId="27" borderId="21" xfId="0" applyFont="1" applyFill="1" applyBorder="1" applyAlignment="1">
      <alignment horizontal="center" vertical="center"/>
    </xf>
    <xf numFmtId="0" fontId="19" fillId="27" borderId="13" xfId="0" applyFont="1" applyFill="1" applyBorder="1" applyAlignment="1">
      <alignment horizontal="center" vertical="center"/>
    </xf>
    <xf numFmtId="0" fontId="19" fillId="27" borderId="67" xfId="0" applyFont="1" applyFill="1" applyBorder="1" applyAlignment="1">
      <alignment horizontal="center" vertical="center"/>
    </xf>
    <xf numFmtId="171" fontId="19" fillId="26" borderId="33" xfId="0" applyNumberFormat="1" applyFont="1" applyFill="1" applyBorder="1" applyAlignment="1">
      <alignment horizontal="center" vertical="center"/>
    </xf>
    <xf numFmtId="0" fontId="19" fillId="27" borderId="34" xfId="0" applyFont="1" applyFill="1" applyBorder="1" applyAlignment="1">
      <alignment horizontal="center" vertical="center"/>
    </xf>
    <xf numFmtId="169" fontId="19" fillId="26" borderId="34" xfId="0" applyNumberFormat="1" applyFont="1" applyFill="1" applyBorder="1" applyAlignment="1">
      <alignment vertical="center"/>
    </xf>
    <xf numFmtId="167" fontId="19" fillId="26" borderId="35" xfId="0" applyNumberFormat="1" applyFont="1" applyFill="1" applyBorder="1" applyAlignment="1">
      <alignment vertical="center"/>
    </xf>
    <xf numFmtId="167" fontId="22" fillId="46" borderId="34" xfId="0" applyNumberFormat="1" applyFont="1" applyFill="1" applyBorder="1" applyAlignment="1">
      <alignment vertical="center"/>
    </xf>
    <xf numFmtId="167" fontId="19" fillId="34" borderId="36" xfId="0" applyNumberFormat="1" applyFont="1" applyFill="1" applyBorder="1" applyAlignment="1">
      <alignment vertical="center"/>
    </xf>
    <xf numFmtId="0" fontId="22" fillId="44" borderId="54" xfId="0" applyFont="1" applyFill="1" applyBorder="1" applyAlignment="1">
      <alignment horizontal="center" vertical="center" wrapText="1"/>
    </xf>
    <xf numFmtId="0" fontId="34" fillId="44" borderId="28" xfId="0" applyFont="1" applyFill="1" applyBorder="1" applyAlignment="1">
      <alignment horizontal="center" vertical="center" wrapText="1"/>
    </xf>
    <xf numFmtId="0" fontId="19" fillId="34" borderId="32" xfId="0" applyFont="1" applyFill="1" applyBorder="1" applyAlignment="1">
      <alignment horizontal="center" vertical="center" wrapText="1"/>
    </xf>
    <xf numFmtId="0" fontId="33" fillId="45" borderId="54" xfId="0" applyFont="1" applyFill="1" applyBorder="1" applyAlignment="1">
      <alignment horizontal="center" vertical="center"/>
    </xf>
    <xf numFmtId="0" fontId="23" fillId="35" borderId="32" xfId="0" applyFont="1" applyFill="1" applyBorder="1" applyAlignment="1">
      <alignment horizontal="center" vertical="center"/>
    </xf>
    <xf numFmtId="0" fontId="19" fillId="27" borderId="33" xfId="0" applyFont="1" applyFill="1" applyBorder="1" applyAlignment="1">
      <alignment horizontal="center" vertical="center"/>
    </xf>
    <xf numFmtId="167" fontId="22" fillId="48" borderId="47" xfId="0" applyNumberFormat="1" applyFont="1" applyFill="1" applyBorder="1" applyAlignment="1">
      <alignment horizontal="center" vertical="center"/>
    </xf>
    <xf numFmtId="0" fontId="23" fillId="30" borderId="23" xfId="0" applyFont="1" applyFill="1" applyBorder="1" applyAlignment="1">
      <alignment horizontal="center" vertical="center"/>
    </xf>
    <xf numFmtId="167" fontId="19" fillId="26" borderId="44" xfId="0" applyNumberFormat="1" applyFont="1" applyFill="1" applyBorder="1" applyAlignment="1">
      <alignment vertical="center"/>
    </xf>
    <xf numFmtId="171" fontId="19" fillId="26" borderId="44" xfId="0" applyNumberFormat="1" applyFont="1" applyFill="1" applyBorder="1" applyAlignment="1">
      <alignment horizontal="right" vertical="center"/>
    </xf>
    <xf numFmtId="171" fontId="19" fillId="26" borderId="23" xfId="0" applyNumberFormat="1" applyFont="1" applyFill="1" applyBorder="1" applyAlignment="1">
      <alignment horizontal="right" vertical="center"/>
    </xf>
    <xf numFmtId="167" fontId="19" fillId="34" borderId="38" xfId="0" applyNumberFormat="1" applyFont="1" applyFill="1" applyBorder="1" applyAlignment="1">
      <alignment vertical="center"/>
    </xf>
    <xf numFmtId="167" fontId="22" fillId="36" borderId="54" xfId="0" applyNumberFormat="1" applyFont="1" applyFill="1" applyBorder="1" applyAlignment="1">
      <alignment horizontal="right" vertical="center"/>
    </xf>
    <xf numFmtId="167" fontId="19" fillId="26" borderId="45" xfId="0" applyNumberFormat="1" applyFont="1" applyFill="1" applyBorder="1" applyAlignment="1">
      <alignment vertical="center"/>
    </xf>
    <xf numFmtId="167" fontId="22" fillId="46" borderId="25" xfId="0" applyNumberFormat="1" applyFont="1" applyFill="1" applyBorder="1" applyAlignment="1">
      <alignment vertical="center"/>
    </xf>
    <xf numFmtId="0" fontId="41" fillId="0" borderId="11" xfId="0" applyFont="1" applyFill="1" applyBorder="1" applyAlignment="1"/>
    <xf numFmtId="1" fontId="19" fillId="0" borderId="11" xfId="0" applyNumberFormat="1" applyFont="1" applyFill="1" applyBorder="1" applyAlignment="1">
      <alignment horizontal="center" vertical="center"/>
    </xf>
    <xf numFmtId="174" fontId="19" fillId="0" borderId="11" xfId="0" applyNumberFormat="1" applyFont="1" applyFill="1" applyBorder="1" applyAlignment="1">
      <alignment horizontal="center"/>
    </xf>
    <xf numFmtId="0" fontId="41" fillId="0" borderId="11" xfId="0" applyFont="1" applyFill="1" applyBorder="1" applyAlignment="1">
      <alignment wrapText="1"/>
    </xf>
    <xf numFmtId="164" fontId="19" fillId="0" borderId="11" xfId="0" applyNumberFormat="1" applyFont="1" applyFill="1" applyBorder="1" applyAlignment="1">
      <alignment horizontal="center"/>
    </xf>
    <xf numFmtId="0" fontId="41" fillId="0" borderId="11" xfId="0" applyFont="1" applyBorder="1" applyAlignment="1"/>
    <xf numFmtId="166" fontId="19" fillId="0" borderId="11" xfId="0" applyNumberFormat="1" applyFont="1" applyFill="1" applyBorder="1" applyAlignment="1">
      <alignment vertical="center"/>
    </xf>
    <xf numFmtId="0" fontId="41" fillId="0" borderId="11" xfId="0" applyFont="1" applyBorder="1" applyAlignment="1">
      <alignment wrapText="1"/>
    </xf>
    <xf numFmtId="172" fontId="34" fillId="31" borderId="51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top" wrapText="1"/>
    </xf>
    <xf numFmtId="172" fontId="34" fillId="0" borderId="0" xfId="0" applyNumberFormat="1" applyFont="1" applyFill="1" applyBorder="1" applyAlignment="1">
      <alignment horizontal="center" vertical="center" wrapText="1"/>
    </xf>
    <xf numFmtId="0" fontId="38" fillId="42" borderId="62" xfId="0" applyFont="1" applyFill="1" applyBorder="1" applyAlignment="1">
      <alignment horizontal="center" vertical="center" wrapText="1"/>
    </xf>
    <xf numFmtId="0" fontId="38" fillId="42" borderId="26" xfId="0" applyFont="1" applyFill="1" applyBorder="1" applyAlignment="1">
      <alignment horizontal="center" vertical="center" wrapText="1"/>
    </xf>
    <xf numFmtId="3" fontId="33" fillId="0" borderId="25" xfId="0" applyNumberFormat="1" applyFont="1" applyFill="1" applyBorder="1" applyAlignment="1">
      <alignment horizontal="center" vertical="center" wrapText="1"/>
    </xf>
    <xf numFmtId="164" fontId="37" fillId="42" borderId="32" xfId="0" applyNumberFormat="1" applyFont="1" applyFill="1" applyBorder="1" applyAlignment="1">
      <alignment horizontal="center" vertical="center" wrapText="1"/>
    </xf>
    <xf numFmtId="0" fontId="38" fillId="42" borderId="3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justify" vertical="center" wrapText="1"/>
    </xf>
    <xf numFmtId="0" fontId="19" fillId="39" borderId="52" xfId="0" applyFont="1" applyFill="1" applyBorder="1" applyAlignment="1">
      <alignment horizontal="center" vertical="center" wrapText="1"/>
    </xf>
    <xf numFmtId="0" fontId="32" fillId="39" borderId="47" xfId="0" applyFont="1" applyFill="1" applyBorder="1" applyAlignment="1">
      <alignment horizontal="center" vertical="center" wrapText="1"/>
    </xf>
    <xf numFmtId="0" fontId="23" fillId="40" borderId="52" xfId="0" applyFont="1" applyFill="1" applyBorder="1" applyAlignment="1">
      <alignment horizontal="center" vertical="center"/>
    </xf>
    <xf numFmtId="172" fontId="19" fillId="39" borderId="45" xfId="0" applyNumberFormat="1" applyFont="1" applyFill="1" applyBorder="1" applyAlignment="1">
      <alignment horizontal="center" vertical="center"/>
    </xf>
    <xf numFmtId="172" fontId="19" fillId="39" borderId="14" xfId="0" applyNumberFormat="1" applyFont="1" applyFill="1" applyBorder="1" applyAlignment="1">
      <alignment horizontal="center" vertical="center"/>
    </xf>
    <xf numFmtId="0" fontId="22" fillId="39" borderId="52" xfId="0" applyFont="1" applyFill="1" applyBorder="1" applyAlignment="1">
      <alignment horizontal="center" vertical="center"/>
    </xf>
    <xf numFmtId="164" fontId="38" fillId="0" borderId="30" xfId="0" applyNumberFormat="1" applyFont="1" applyFill="1" applyBorder="1" applyAlignment="1">
      <alignment horizontal="center" vertical="center" wrapText="1"/>
    </xf>
    <xf numFmtId="4" fontId="19" fillId="26" borderId="0" xfId="0" applyNumberFormat="1" applyFont="1" applyFill="1" applyAlignment="1">
      <alignment vertical="center"/>
    </xf>
    <xf numFmtId="0" fontId="22" fillId="44" borderId="49" xfId="0" applyFont="1" applyFill="1" applyBorder="1" applyAlignment="1">
      <alignment horizontal="center" vertical="center" wrapText="1"/>
    </xf>
    <xf numFmtId="0" fontId="34" fillId="44" borderId="49" xfId="0" applyFont="1" applyFill="1" applyBorder="1" applyAlignment="1">
      <alignment horizontal="center" vertical="center" wrapText="1"/>
    </xf>
    <xf numFmtId="0" fontId="33" fillId="45" borderId="49" xfId="0" applyFont="1" applyFill="1" applyBorder="1" applyAlignment="1">
      <alignment horizontal="center" vertical="center"/>
    </xf>
    <xf numFmtId="167" fontId="22" fillId="46" borderId="49" xfId="0" applyNumberFormat="1" applyFont="1" applyFill="1" applyBorder="1" applyAlignment="1">
      <alignment vertical="center"/>
    </xf>
    <xf numFmtId="167" fontId="22" fillId="46" borderId="50" xfId="0" applyNumberFormat="1" applyFont="1" applyFill="1" applyBorder="1" applyAlignment="1">
      <alignment vertical="center"/>
    </xf>
    <xf numFmtId="167" fontId="22" fillId="36" borderId="49" xfId="0" applyNumberFormat="1" applyFont="1" applyFill="1" applyBorder="1" applyAlignment="1">
      <alignment vertical="center"/>
    </xf>
    <xf numFmtId="4" fontId="19" fillId="0" borderId="0" xfId="0" applyNumberFormat="1" applyFont="1" applyFill="1" applyAlignment="1">
      <alignment vertical="center"/>
    </xf>
    <xf numFmtId="0" fontId="19" fillId="0" borderId="40" xfId="0" applyFont="1" applyFill="1" applyBorder="1" applyAlignment="1">
      <alignment horizontal="center" vertical="center"/>
    </xf>
    <xf numFmtId="0" fontId="41" fillId="0" borderId="17" xfId="0" applyFont="1" applyFill="1" applyBorder="1" applyAlignment="1"/>
    <xf numFmtId="1" fontId="19" fillId="0" borderId="17" xfId="0" applyNumberFormat="1" applyFont="1" applyFill="1" applyBorder="1" applyAlignment="1">
      <alignment horizontal="center" vertical="center"/>
    </xf>
    <xf numFmtId="4" fontId="42" fillId="0" borderId="17" xfId="44" applyNumberFormat="1" applyFont="1" applyFill="1" applyBorder="1" applyAlignment="1">
      <alignment horizontal="center" vertical="center" wrapText="1"/>
    </xf>
    <xf numFmtId="164" fontId="19" fillId="0" borderId="17" xfId="0" applyNumberFormat="1" applyFont="1" applyFill="1" applyBorder="1" applyAlignment="1">
      <alignment horizontal="center" vertical="center"/>
    </xf>
    <xf numFmtId="174" fontId="19" fillId="0" borderId="17" xfId="0" applyNumberFormat="1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vertical="center" wrapText="1"/>
    </xf>
    <xf numFmtId="164" fontId="37" fillId="0" borderId="11" xfId="0" applyNumberFormat="1" applyFont="1" applyFill="1" applyBorder="1" applyAlignment="1">
      <alignment horizontal="center" vertical="center" wrapText="1"/>
    </xf>
    <xf numFmtId="4" fontId="42" fillId="0" borderId="11" xfId="44" applyNumberFormat="1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/>
    </xf>
    <xf numFmtId="0" fontId="41" fillId="0" borderId="30" xfId="0" applyFont="1" applyFill="1" applyBorder="1" applyAlignment="1">
      <alignment wrapText="1"/>
    </xf>
    <xf numFmtId="1" fontId="19" fillId="0" borderId="30" xfId="0" applyNumberFormat="1" applyFont="1" applyFill="1" applyBorder="1" applyAlignment="1">
      <alignment horizontal="center" vertical="center"/>
    </xf>
    <xf numFmtId="4" fontId="42" fillId="0" borderId="30" xfId="44" applyNumberFormat="1" applyFont="1" applyFill="1" applyBorder="1" applyAlignment="1">
      <alignment horizontal="center" vertical="center" wrapText="1"/>
    </xf>
    <xf numFmtId="164" fontId="19" fillId="0" borderId="30" xfId="0" applyNumberFormat="1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/>
    </xf>
    <xf numFmtId="0" fontId="23" fillId="30" borderId="40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30" xfId="0" applyFont="1" applyFill="1" applyBorder="1" applyAlignment="1">
      <alignment horizontal="center" vertical="center"/>
    </xf>
    <xf numFmtId="2" fontId="19" fillId="26" borderId="0" xfId="0" applyNumberFormat="1" applyFont="1" applyFill="1" applyAlignment="1">
      <alignment vertical="center"/>
    </xf>
    <xf numFmtId="0" fontId="23" fillId="0" borderId="11" xfId="0" applyFont="1" applyFill="1" applyBorder="1" applyAlignment="1">
      <alignment horizontal="center" vertical="center"/>
    </xf>
    <xf numFmtId="1" fontId="19" fillId="0" borderId="11" xfId="0" applyNumberFormat="1" applyFont="1" applyFill="1" applyBorder="1" applyAlignment="1">
      <alignment vertical="center"/>
    </xf>
    <xf numFmtId="2" fontId="19" fillId="0" borderId="11" xfId="0" applyNumberFormat="1" applyFont="1" applyFill="1" applyBorder="1" applyAlignment="1">
      <alignment vertical="center"/>
    </xf>
    <xf numFmtId="4" fontId="19" fillId="0" borderId="11" xfId="0" applyNumberFormat="1" applyFont="1" applyFill="1" applyBorder="1" applyAlignment="1">
      <alignment vertical="center"/>
    </xf>
    <xf numFmtId="1" fontId="19" fillId="0" borderId="15" xfId="0" applyNumberFormat="1" applyFont="1" applyFill="1" applyBorder="1" applyAlignment="1">
      <alignment horizontal="center" vertical="center"/>
    </xf>
    <xf numFmtId="1" fontId="19" fillId="0" borderId="15" xfId="0" applyNumberFormat="1" applyFont="1" applyFill="1" applyBorder="1" applyAlignment="1">
      <alignment vertical="center"/>
    </xf>
    <xf numFmtId="2" fontId="19" fillId="0" borderId="15" xfId="0" applyNumberFormat="1" applyFont="1" applyFill="1" applyBorder="1" applyAlignment="1">
      <alignment vertical="center"/>
    </xf>
    <xf numFmtId="4" fontId="42" fillId="0" borderId="15" xfId="44" applyNumberFormat="1" applyFont="1" applyFill="1" applyBorder="1" applyAlignment="1">
      <alignment horizontal="center" vertical="center" wrapText="1"/>
    </xf>
    <xf numFmtId="4" fontId="19" fillId="0" borderId="15" xfId="0" applyNumberFormat="1" applyFont="1" applyFill="1" applyBorder="1" applyAlignment="1">
      <alignment vertical="center"/>
    </xf>
    <xf numFmtId="3" fontId="22" fillId="0" borderId="27" xfId="0" applyNumberFormat="1" applyFont="1" applyFill="1" applyBorder="1" applyAlignment="1">
      <alignment horizontal="center" vertical="center"/>
    </xf>
    <xf numFmtId="3" fontId="22" fillId="0" borderId="18" xfId="0" applyNumberFormat="1" applyFont="1" applyFill="1" applyBorder="1" applyAlignment="1">
      <alignment vertical="center"/>
    </xf>
    <xf numFmtId="4" fontId="22" fillId="0" borderId="18" xfId="0" applyNumberFormat="1" applyFont="1" applyFill="1" applyBorder="1" applyAlignment="1">
      <alignment vertical="center"/>
    </xf>
    <xf numFmtId="2" fontId="22" fillId="0" borderId="18" xfId="0" applyNumberFormat="1" applyFont="1" applyFill="1" applyBorder="1" applyAlignment="1">
      <alignment vertical="center"/>
    </xf>
    <xf numFmtId="2" fontId="22" fillId="0" borderId="19" xfId="0" applyNumberFormat="1" applyFont="1" applyFill="1" applyBorder="1" applyAlignment="1">
      <alignment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vertical="center"/>
    </xf>
    <xf numFmtId="2" fontId="22" fillId="0" borderId="0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vertical="center"/>
    </xf>
    <xf numFmtId="167" fontId="22" fillId="0" borderId="49" xfId="0" applyNumberFormat="1" applyFont="1" applyFill="1" applyBorder="1" applyAlignment="1">
      <alignment vertical="center"/>
    </xf>
    <xf numFmtId="0" fontId="0" fillId="0" borderId="0" xfId="0" applyFill="1"/>
    <xf numFmtId="0" fontId="22" fillId="43" borderId="22" xfId="0" applyFont="1" applyFill="1" applyBorder="1" applyAlignment="1">
      <alignment horizontal="center" vertical="center" wrapText="1"/>
    </xf>
    <xf numFmtId="0" fontId="22" fillId="43" borderId="49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0" xfId="0" applyFont="1" applyFill="1" applyBorder="1" applyAlignment="1">
      <alignment horizontal="center" vertical="center" wrapText="1"/>
    </xf>
    <xf numFmtId="0" fontId="32" fillId="0" borderId="68" xfId="0" applyFont="1" applyFill="1" applyBorder="1" applyAlignment="1">
      <alignment horizontal="center" vertical="center" wrapText="1"/>
    </xf>
    <xf numFmtId="0" fontId="32" fillId="0" borderId="69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2" fillId="24" borderId="33" xfId="0" applyFont="1" applyFill="1" applyBorder="1" applyAlignment="1">
      <alignment horizontal="center" vertical="center" wrapText="1"/>
    </xf>
    <xf numFmtId="0" fontId="22" fillId="24" borderId="34" xfId="0" applyFont="1" applyFill="1" applyBorder="1" applyAlignment="1">
      <alignment horizontal="center" vertical="center" wrapText="1"/>
    </xf>
    <xf numFmtId="0" fontId="22" fillId="24" borderId="45" xfId="0" applyFont="1" applyFill="1" applyBorder="1" applyAlignment="1">
      <alignment horizontal="center" vertical="center" wrapText="1"/>
    </xf>
    <xf numFmtId="0" fontId="22" fillId="33" borderId="38" xfId="0" applyFont="1" applyFill="1" applyBorder="1" applyAlignment="1">
      <alignment horizontal="center" vertical="center" wrapText="1"/>
    </xf>
    <xf numFmtId="0" fontId="22" fillId="33" borderId="39" xfId="0" applyFont="1" applyFill="1" applyBorder="1" applyAlignment="1">
      <alignment horizontal="center" vertical="center" wrapText="1"/>
    </xf>
    <xf numFmtId="0" fontId="22" fillId="33" borderId="41" xfId="0" applyFont="1" applyFill="1" applyBorder="1" applyAlignment="1">
      <alignment horizontal="center" vertical="center" wrapText="1"/>
    </xf>
    <xf numFmtId="0" fontId="22" fillId="38" borderId="45" xfId="0" applyFont="1" applyFill="1" applyBorder="1" applyAlignment="1">
      <alignment horizontal="center" vertical="center" wrapText="1"/>
    </xf>
    <xf numFmtId="0" fontId="22" fillId="38" borderId="14" xfId="0" applyFont="1" applyFill="1" applyBorder="1" applyAlignment="1">
      <alignment horizontal="center" vertical="center" wrapText="1"/>
    </xf>
    <xf numFmtId="0" fontId="22" fillId="38" borderId="46" xfId="0" applyFont="1" applyFill="1" applyBorder="1" applyAlignment="1">
      <alignment horizontal="center" vertical="center" wrapText="1"/>
    </xf>
    <xf numFmtId="0" fontId="19" fillId="26" borderId="17" xfId="0" applyFont="1" applyFill="1" applyBorder="1" applyAlignment="1">
      <alignment horizontal="center" vertical="center" textRotation="90" wrapText="1"/>
    </xf>
    <xf numFmtId="0" fontId="19" fillId="26" borderId="30" xfId="0" applyFont="1" applyFill="1" applyBorder="1" applyAlignment="1">
      <alignment horizontal="center" vertical="center" textRotation="90" wrapText="1"/>
    </xf>
    <xf numFmtId="0" fontId="22" fillId="43" borderId="44" xfId="0" applyFont="1" applyFill="1" applyBorder="1" applyAlignment="1">
      <alignment horizontal="center" vertical="center" wrapText="1"/>
    </xf>
    <xf numFmtId="0" fontId="22" fillId="43" borderId="23" xfId="0" applyFont="1" applyFill="1" applyBorder="1" applyAlignment="1">
      <alignment horizontal="center" vertical="center" wrapText="1"/>
    </xf>
    <xf numFmtId="0" fontId="22" fillId="43" borderId="25" xfId="0" applyFont="1" applyFill="1" applyBorder="1" applyAlignment="1">
      <alignment horizontal="center" vertical="center" wrapText="1"/>
    </xf>
    <xf numFmtId="0" fontId="19" fillId="26" borderId="22" xfId="0" applyFont="1" applyFill="1" applyBorder="1" applyAlignment="1">
      <alignment horizontal="center" vertical="center" wrapText="1"/>
    </xf>
    <xf numFmtId="0" fontId="19" fillId="26" borderId="49" xfId="0" applyFont="1" applyFill="1" applyBorder="1" applyAlignment="1">
      <alignment horizontal="center" vertical="center" wrapText="1"/>
    </xf>
    <xf numFmtId="0" fontId="19" fillId="26" borderId="50" xfId="0" applyFont="1" applyFill="1" applyBorder="1" applyAlignment="1">
      <alignment horizontal="center" vertical="center" wrapText="1"/>
    </xf>
    <xf numFmtId="0" fontId="21" fillId="25" borderId="56" xfId="0" applyFont="1" applyFill="1" applyBorder="1" applyAlignment="1">
      <alignment horizontal="center" vertical="center" wrapText="1"/>
    </xf>
    <xf numFmtId="0" fontId="21" fillId="25" borderId="60" xfId="0" applyFont="1" applyFill="1" applyBorder="1" applyAlignment="1">
      <alignment horizontal="center" vertical="center" wrapText="1"/>
    </xf>
    <xf numFmtId="0" fontId="21" fillId="25" borderId="61" xfId="0" applyFont="1" applyFill="1" applyBorder="1" applyAlignment="1">
      <alignment horizontal="center" vertical="center" wrapText="1"/>
    </xf>
    <xf numFmtId="0" fontId="22" fillId="25" borderId="38" xfId="0" applyFont="1" applyFill="1" applyBorder="1" applyAlignment="1">
      <alignment horizontal="center" vertical="center" wrapText="1"/>
    </xf>
    <xf numFmtId="0" fontId="22" fillId="25" borderId="44" xfId="0" applyFont="1" applyFill="1" applyBorder="1" applyAlignment="1">
      <alignment horizontal="center" vertical="center" wrapText="1"/>
    </xf>
    <xf numFmtId="0" fontId="22" fillId="25" borderId="63" xfId="0" applyFont="1" applyFill="1" applyBorder="1" applyAlignment="1">
      <alignment horizontal="center" vertical="center" wrapText="1"/>
    </xf>
    <xf numFmtId="0" fontId="19" fillId="26" borderId="29" xfId="0" applyFont="1" applyFill="1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22" fillId="24" borderId="35" xfId="0" applyFont="1" applyFill="1" applyBorder="1" applyAlignment="1">
      <alignment horizontal="center" vertical="center" wrapText="1"/>
    </xf>
    <xf numFmtId="0" fontId="19" fillId="26" borderId="21" xfId="0" applyFont="1" applyFill="1" applyBorder="1" applyAlignment="1">
      <alignment horizontal="center" vertical="center" textRotation="90" wrapText="1"/>
    </xf>
    <xf numFmtId="0" fontId="19" fillId="26" borderId="48" xfId="0" applyFont="1" applyFill="1" applyBorder="1" applyAlignment="1">
      <alignment horizontal="center" vertical="center" textRotation="90" wrapText="1"/>
    </xf>
    <xf numFmtId="0" fontId="22" fillId="34" borderId="22" xfId="0" applyFont="1" applyFill="1" applyBorder="1" applyAlignment="1">
      <alignment horizontal="center" vertical="center" wrapText="1"/>
    </xf>
    <xf numFmtId="0" fontId="22" fillId="34" borderId="50" xfId="0" applyFont="1" applyFill="1" applyBorder="1" applyAlignment="1">
      <alignment horizontal="center" vertical="center" wrapText="1"/>
    </xf>
    <xf numFmtId="0" fontId="22" fillId="25" borderId="27" xfId="0" applyFont="1" applyFill="1" applyBorder="1" applyAlignment="1">
      <alignment horizontal="center" vertical="center" wrapText="1"/>
    </xf>
    <xf numFmtId="0" fontId="22" fillId="25" borderId="18" xfId="0" applyFont="1" applyFill="1" applyBorder="1" applyAlignment="1">
      <alignment horizontal="center" vertical="center" wrapText="1"/>
    </xf>
    <xf numFmtId="0" fontId="22" fillId="25" borderId="19" xfId="0" applyFont="1" applyFill="1" applyBorder="1" applyAlignment="1">
      <alignment horizontal="center" vertical="center" wrapText="1"/>
    </xf>
    <xf numFmtId="0" fontId="19" fillId="26" borderId="24" xfId="0" applyFont="1" applyFill="1" applyBorder="1" applyAlignment="1">
      <alignment horizontal="center" vertical="center" textRotation="90" wrapText="1"/>
    </xf>
    <xf numFmtId="0" fontId="19" fillId="26" borderId="46" xfId="0" applyFont="1" applyFill="1" applyBorder="1" applyAlignment="1">
      <alignment horizontal="center" vertical="center" textRotation="90" wrapText="1"/>
    </xf>
    <xf numFmtId="0" fontId="22" fillId="25" borderId="57" xfId="0" applyFont="1" applyFill="1" applyBorder="1" applyAlignment="1">
      <alignment horizontal="left" vertical="center" wrapText="1"/>
    </xf>
    <xf numFmtId="0" fontId="22" fillId="25" borderId="44" xfId="0" applyFont="1" applyFill="1" applyBorder="1" applyAlignment="1">
      <alignment horizontal="left" vertical="center" wrapText="1"/>
    </xf>
    <xf numFmtId="0" fontId="22" fillId="25" borderId="58" xfId="0" applyFont="1" applyFill="1" applyBorder="1" applyAlignment="1">
      <alignment horizontal="left" vertical="center" wrapText="1"/>
    </xf>
    <xf numFmtId="0" fontId="22" fillId="38" borderId="22" xfId="0" applyFont="1" applyFill="1" applyBorder="1" applyAlignment="1">
      <alignment horizontal="center" vertical="center" wrapText="1"/>
    </xf>
    <xf numFmtId="0" fontId="22" fillId="38" borderId="49" xfId="0" applyFont="1" applyFill="1" applyBorder="1" applyAlignment="1">
      <alignment horizontal="center" vertical="center" wrapText="1"/>
    </xf>
    <xf numFmtId="0" fontId="22" fillId="38" borderId="50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FFFFCC"/>
      <color rgb="FF66FFFF"/>
      <color rgb="FFB7F9A7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U41"/>
  <sheetViews>
    <sheetView view="pageBreakPreview" zoomScale="75" zoomScaleNormal="90" zoomScaleSheetLayoutView="75" workbookViewId="0">
      <selection activeCell="D13" sqref="D13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9.140625" style="1"/>
    <col min="9" max="9" width="18.7109375" style="1" hidden="1" customWidth="1"/>
    <col min="10" max="10" width="10" style="1" hidden="1" customWidth="1"/>
    <col min="11" max="11" width="10.140625" style="1" hidden="1" customWidth="1"/>
    <col min="12" max="12" width="29.28515625" style="1" hidden="1" customWidth="1"/>
    <col min="13" max="13" width="14.140625" style="1" hidden="1" customWidth="1"/>
    <col min="14" max="15" width="10.140625" style="1" hidden="1" customWidth="1"/>
    <col min="16" max="16" width="21.5703125" style="1" hidden="1" customWidth="1"/>
    <col min="17" max="17" width="19.140625" style="1" hidden="1" customWidth="1"/>
    <col min="18" max="18" width="18.85546875" style="1" hidden="1" customWidth="1"/>
    <col min="19" max="19" width="15.140625" style="1" hidden="1" customWidth="1"/>
    <col min="20" max="20" width="21" style="1" hidden="1" customWidth="1"/>
    <col min="21" max="229" width="9.140625" style="1"/>
  </cols>
  <sheetData>
    <row r="2" spans="1:18" s="4" customFormat="1" ht="42.75" customHeight="1" x14ac:dyDescent="0.2">
      <c r="A2" s="249" t="s">
        <v>77</v>
      </c>
      <c r="B2" s="249"/>
      <c r="C2" s="249"/>
      <c r="D2" s="249"/>
      <c r="E2" s="249"/>
      <c r="F2" s="249"/>
      <c r="G2" s="249"/>
    </row>
    <row r="3" spans="1:18" s="4" customFormat="1" ht="16.5" x14ac:dyDescent="0.2">
      <c r="B3" s="254"/>
      <c r="C3" s="254"/>
      <c r="D3" s="254"/>
      <c r="E3" s="254"/>
      <c r="F3" s="254"/>
      <c r="G3" s="254"/>
    </row>
    <row r="4" spans="1:18" ht="16.5" thickBot="1" x14ac:dyDescent="0.25">
      <c r="B4" s="5"/>
      <c r="C4" s="6"/>
      <c r="D4" s="6"/>
    </row>
    <row r="5" spans="1:18" ht="20.25" customHeight="1" x14ac:dyDescent="0.2">
      <c r="A5" s="251" t="s">
        <v>0</v>
      </c>
      <c r="B5" s="255" t="s">
        <v>7</v>
      </c>
      <c r="C5" s="255" t="s">
        <v>57</v>
      </c>
      <c r="D5" s="255"/>
      <c r="E5" s="255"/>
      <c r="F5" s="255"/>
      <c r="G5" s="255"/>
      <c r="P5" s="247" t="s">
        <v>218</v>
      </c>
      <c r="Q5" s="247" t="s">
        <v>219</v>
      </c>
    </row>
    <row r="6" spans="1:18" s="7" customFormat="1" ht="51.75" customHeight="1" x14ac:dyDescent="0.2">
      <c r="A6" s="252"/>
      <c r="B6" s="250"/>
      <c r="C6" s="211" t="s">
        <v>73</v>
      </c>
      <c r="D6" s="211" t="s">
        <v>63</v>
      </c>
      <c r="E6" s="250" t="s">
        <v>72</v>
      </c>
      <c r="F6" s="250"/>
      <c r="G6" s="250"/>
      <c r="I6" s="250" t="s">
        <v>73</v>
      </c>
      <c r="J6" s="250"/>
      <c r="K6" s="250"/>
      <c r="L6" s="250" t="s">
        <v>63</v>
      </c>
      <c r="M6" s="250"/>
      <c r="N6" s="250"/>
      <c r="O6" s="177"/>
      <c r="P6" s="248"/>
      <c r="Q6" s="248"/>
      <c r="R6" s="177"/>
    </row>
    <row r="7" spans="1:18" s="7" customFormat="1" ht="19.5" customHeight="1" x14ac:dyDescent="0.2">
      <c r="A7" s="252"/>
      <c r="B7" s="250"/>
      <c r="C7" s="212" t="s">
        <v>211</v>
      </c>
      <c r="D7" s="211" t="s">
        <v>212</v>
      </c>
      <c r="E7" s="250"/>
      <c r="F7" s="250"/>
      <c r="G7" s="250"/>
      <c r="I7" s="212" t="s">
        <v>208</v>
      </c>
      <c r="J7" s="250" t="s">
        <v>216</v>
      </c>
      <c r="K7" s="250"/>
      <c r="L7" s="211" t="s">
        <v>210</v>
      </c>
      <c r="M7" s="250" t="s">
        <v>216</v>
      </c>
      <c r="N7" s="250"/>
      <c r="O7" s="177"/>
      <c r="P7" s="248"/>
      <c r="Q7" s="248"/>
      <c r="R7" s="177"/>
    </row>
    <row r="8" spans="1:18" s="7" customFormat="1" ht="69" customHeight="1" x14ac:dyDescent="0.2">
      <c r="A8" s="252"/>
      <c r="B8" s="250"/>
      <c r="C8" s="211" t="s">
        <v>1</v>
      </c>
      <c r="D8" s="211" t="s">
        <v>2</v>
      </c>
      <c r="E8" s="213" t="s">
        <v>213</v>
      </c>
      <c r="F8" s="213" t="s">
        <v>214</v>
      </c>
      <c r="G8" s="213" t="s">
        <v>215</v>
      </c>
      <c r="I8" s="211"/>
      <c r="J8" s="211"/>
      <c r="K8" s="211"/>
      <c r="L8" s="211" t="s">
        <v>2</v>
      </c>
      <c r="M8" s="212"/>
      <c r="N8" s="212"/>
      <c r="O8" s="240"/>
      <c r="P8" s="198"/>
      <c r="Q8" s="198"/>
      <c r="R8" s="240"/>
    </row>
    <row r="9" spans="1:18" s="8" customFormat="1" thickBot="1" x14ac:dyDescent="0.25">
      <c r="A9" s="253"/>
      <c r="B9" s="223" t="s">
        <v>3</v>
      </c>
      <c r="C9" s="223" t="s">
        <v>5</v>
      </c>
      <c r="D9" s="223" t="s">
        <v>4</v>
      </c>
      <c r="E9" s="196" t="s">
        <v>199</v>
      </c>
      <c r="F9" s="196" t="s">
        <v>200</v>
      </c>
      <c r="G9" s="196" t="s">
        <v>201</v>
      </c>
      <c r="I9" s="225" t="s">
        <v>5</v>
      </c>
      <c r="J9" s="225"/>
      <c r="K9" s="225" t="s">
        <v>217</v>
      </c>
      <c r="L9" s="225" t="s">
        <v>4</v>
      </c>
      <c r="M9" s="225"/>
      <c r="N9" s="225" t="s">
        <v>217</v>
      </c>
      <c r="O9" s="241"/>
      <c r="P9" s="199"/>
      <c r="Q9" s="199"/>
      <c r="R9" s="241"/>
    </row>
    <row r="10" spans="1:18" s="8" customFormat="1" ht="15.75" customHeight="1" x14ac:dyDescent="0.2">
      <c r="A10" s="221">
        <v>1</v>
      </c>
      <c r="B10" s="222">
        <v>2</v>
      </c>
      <c r="C10" s="222">
        <v>3</v>
      </c>
      <c r="D10" s="222">
        <v>4</v>
      </c>
      <c r="E10" s="222">
        <v>5</v>
      </c>
      <c r="F10" s="222">
        <v>6</v>
      </c>
      <c r="G10" s="222">
        <v>7</v>
      </c>
      <c r="I10" s="225"/>
      <c r="J10" s="225"/>
      <c r="K10" s="225"/>
      <c r="L10" s="225"/>
      <c r="M10" s="225"/>
      <c r="N10" s="225"/>
      <c r="O10" s="241"/>
      <c r="P10" s="200" t="s">
        <v>4</v>
      </c>
      <c r="Q10" s="200" t="s">
        <v>4</v>
      </c>
      <c r="R10" s="241"/>
    </row>
    <row r="11" spans="1:18" x14ac:dyDescent="0.25">
      <c r="A11" s="205">
        <v>1</v>
      </c>
      <c r="B11" s="206" t="s">
        <v>178</v>
      </c>
      <c r="C11" s="207">
        <v>664</v>
      </c>
      <c r="D11" s="208">
        <v>545934.79</v>
      </c>
      <c r="E11" s="209">
        <v>75</v>
      </c>
      <c r="F11" s="210">
        <v>6</v>
      </c>
      <c r="G11" s="209">
        <v>6</v>
      </c>
      <c r="H11" s="204"/>
      <c r="I11" s="169">
        <v>691</v>
      </c>
      <c r="J11" s="226">
        <f t="shared" ref="J11:J32" si="0">C11-I11</f>
        <v>-27</v>
      </c>
      <c r="K11" s="227">
        <f t="shared" ref="K11:K32" si="1">J11/I11*100</f>
        <v>-3.907380607814761</v>
      </c>
      <c r="L11" s="214">
        <v>482895</v>
      </c>
      <c r="M11" s="228">
        <f t="shared" ref="M11:M32" si="2">D11-L11</f>
        <v>63039.790000000037</v>
      </c>
      <c r="N11" s="227">
        <f t="shared" ref="N11:N32" si="3">M11/L11*100</f>
        <v>13.054554302695209</v>
      </c>
      <c r="O11" s="242"/>
      <c r="P11" s="201">
        <v>6961615.5999999996</v>
      </c>
      <c r="Q11" s="201">
        <v>6898965.4611934889</v>
      </c>
      <c r="R11" s="244">
        <f>Q11-P11</f>
        <v>-62650.138806510717</v>
      </c>
    </row>
    <row r="12" spans="1:18" ht="26.25" x14ac:dyDescent="0.25">
      <c r="A12" s="40">
        <v>2</v>
      </c>
      <c r="B12" s="171" t="s">
        <v>179</v>
      </c>
      <c r="C12" s="169">
        <v>359</v>
      </c>
      <c r="D12" s="214">
        <v>230702.21</v>
      </c>
      <c r="E12" s="18">
        <v>30</v>
      </c>
      <c r="F12" s="170">
        <v>7</v>
      </c>
      <c r="G12" s="18">
        <v>2</v>
      </c>
      <c r="H12" s="204"/>
      <c r="I12" s="169">
        <v>385</v>
      </c>
      <c r="J12" s="226">
        <f t="shared" si="0"/>
        <v>-26</v>
      </c>
      <c r="K12" s="227">
        <f t="shared" si="1"/>
        <v>-6.7532467532467528</v>
      </c>
      <c r="L12" s="214">
        <v>200766</v>
      </c>
      <c r="M12" s="228">
        <f t="shared" si="2"/>
        <v>29936.209999999992</v>
      </c>
      <c r="N12" s="227">
        <f t="shared" si="3"/>
        <v>14.910995885757544</v>
      </c>
      <c r="O12" s="242"/>
      <c r="P12" s="203">
        <v>1815480.43</v>
      </c>
      <c r="Q12" s="203">
        <v>1794355.99</v>
      </c>
      <c r="R12" s="244">
        <f t="shared" ref="R12:R32" si="4">Q12-P12</f>
        <v>-21124.439999999944</v>
      </c>
    </row>
    <row r="13" spans="1:18" x14ac:dyDescent="0.25">
      <c r="A13" s="40">
        <v>3</v>
      </c>
      <c r="B13" s="171" t="s">
        <v>180</v>
      </c>
      <c r="C13" s="169">
        <v>309</v>
      </c>
      <c r="D13" s="214">
        <v>406184.23</v>
      </c>
      <c r="E13" s="18">
        <v>65</v>
      </c>
      <c r="F13" s="170">
        <v>7</v>
      </c>
      <c r="G13" s="18">
        <v>3</v>
      </c>
      <c r="H13" s="204"/>
      <c r="I13" s="169">
        <v>333</v>
      </c>
      <c r="J13" s="226">
        <f t="shared" si="0"/>
        <v>-24</v>
      </c>
      <c r="K13" s="227">
        <f t="shared" si="1"/>
        <v>-7.2072072072072073</v>
      </c>
      <c r="L13" s="214">
        <v>452827</v>
      </c>
      <c r="M13" s="228">
        <f t="shared" si="2"/>
        <v>-46642.770000000019</v>
      </c>
      <c r="N13" s="227">
        <f t="shared" si="3"/>
        <v>-10.300350906637638</v>
      </c>
      <c r="O13" s="242"/>
      <c r="P13" s="201">
        <v>2272258.58</v>
      </c>
      <c r="Q13" s="201">
        <v>2331242.35</v>
      </c>
      <c r="R13" s="244">
        <f t="shared" si="4"/>
        <v>58983.770000000019</v>
      </c>
    </row>
    <row r="14" spans="1:18" x14ac:dyDescent="0.25">
      <c r="A14" s="40">
        <v>4</v>
      </c>
      <c r="B14" s="171" t="s">
        <v>181</v>
      </c>
      <c r="C14" s="169">
        <v>363</v>
      </c>
      <c r="D14" s="214">
        <v>364590.11</v>
      </c>
      <c r="E14" s="18">
        <v>30</v>
      </c>
      <c r="F14" s="170">
        <v>7</v>
      </c>
      <c r="G14" s="18">
        <v>4</v>
      </c>
      <c r="H14" s="204"/>
      <c r="I14" s="169">
        <v>382</v>
      </c>
      <c r="J14" s="226">
        <f t="shared" si="0"/>
        <v>-19</v>
      </c>
      <c r="K14" s="227">
        <f t="shared" si="1"/>
        <v>-4.9738219895287958</v>
      </c>
      <c r="L14" s="214">
        <v>291257</v>
      </c>
      <c r="M14" s="228">
        <f t="shared" si="2"/>
        <v>73333.109999999986</v>
      </c>
      <c r="N14" s="227">
        <f t="shared" si="3"/>
        <v>25.178145074624815</v>
      </c>
      <c r="O14" s="242"/>
      <c r="P14" s="201">
        <v>2165073.6800000002</v>
      </c>
      <c r="Q14" s="201">
        <v>2142993.1</v>
      </c>
      <c r="R14" s="244">
        <f t="shared" si="4"/>
        <v>-22080.580000000075</v>
      </c>
    </row>
    <row r="15" spans="1:18" x14ac:dyDescent="0.25">
      <c r="A15" s="40">
        <v>5</v>
      </c>
      <c r="B15" s="171" t="s">
        <v>182</v>
      </c>
      <c r="C15" s="169">
        <v>196</v>
      </c>
      <c r="D15" s="214">
        <v>148035.74</v>
      </c>
      <c r="E15" s="18">
        <v>59</v>
      </c>
      <c r="F15" s="170">
        <v>8</v>
      </c>
      <c r="G15" s="18">
        <v>4</v>
      </c>
      <c r="H15" s="204"/>
      <c r="I15" s="169">
        <v>204</v>
      </c>
      <c r="J15" s="226">
        <f t="shared" si="0"/>
        <v>-8</v>
      </c>
      <c r="K15" s="227">
        <f t="shared" si="1"/>
        <v>-3.9215686274509802</v>
      </c>
      <c r="L15" s="214">
        <v>124826</v>
      </c>
      <c r="M15" s="228">
        <f t="shared" si="2"/>
        <v>23209.739999999991</v>
      </c>
      <c r="N15" s="227">
        <f t="shared" si="3"/>
        <v>18.593674394757496</v>
      </c>
      <c r="O15" s="242"/>
      <c r="P15" s="201">
        <v>1802152.8</v>
      </c>
      <c r="Q15" s="201">
        <v>1784722.16</v>
      </c>
      <c r="R15" s="244">
        <f t="shared" si="4"/>
        <v>-17430.64000000013</v>
      </c>
    </row>
    <row r="16" spans="1:18" ht="26.25" x14ac:dyDescent="0.25">
      <c r="A16" s="40">
        <v>6</v>
      </c>
      <c r="B16" s="171" t="s">
        <v>183</v>
      </c>
      <c r="C16" s="169">
        <v>1711</v>
      </c>
      <c r="D16" s="214">
        <v>2055171.98</v>
      </c>
      <c r="E16" s="18">
        <v>44</v>
      </c>
      <c r="F16" s="170">
        <v>3</v>
      </c>
      <c r="G16" s="18">
        <v>3</v>
      </c>
      <c r="H16" s="204"/>
      <c r="I16" s="169">
        <v>1740</v>
      </c>
      <c r="J16" s="226">
        <f t="shared" si="0"/>
        <v>-29</v>
      </c>
      <c r="K16" s="227">
        <f t="shared" si="1"/>
        <v>-1.6666666666666667</v>
      </c>
      <c r="L16" s="214">
        <v>1763432</v>
      </c>
      <c r="M16" s="228">
        <f t="shared" si="2"/>
        <v>291739.98</v>
      </c>
      <c r="N16" s="227">
        <f t="shared" si="3"/>
        <v>16.543874671662984</v>
      </c>
      <c r="O16" s="242"/>
      <c r="P16" s="201">
        <v>6369890.5899999999</v>
      </c>
      <c r="Q16" s="201">
        <v>6919622.0999999996</v>
      </c>
      <c r="R16" s="244">
        <f t="shared" si="4"/>
        <v>549731.50999999978</v>
      </c>
    </row>
    <row r="17" spans="1:229" x14ac:dyDescent="0.25">
      <c r="A17" s="40">
        <v>7</v>
      </c>
      <c r="B17" s="171" t="s">
        <v>184</v>
      </c>
      <c r="C17" s="169">
        <v>331</v>
      </c>
      <c r="D17" s="214">
        <v>200339.41</v>
      </c>
      <c r="E17" s="18">
        <v>33</v>
      </c>
      <c r="F17" s="170">
        <v>7</v>
      </c>
      <c r="G17" s="18">
        <v>4</v>
      </c>
      <c r="H17" s="204"/>
      <c r="I17" s="169">
        <v>344</v>
      </c>
      <c r="J17" s="226">
        <f t="shared" si="0"/>
        <v>-13</v>
      </c>
      <c r="K17" s="227">
        <f t="shared" si="1"/>
        <v>-3.7790697674418601</v>
      </c>
      <c r="L17" s="214">
        <v>327588</v>
      </c>
      <c r="M17" s="228">
        <f t="shared" si="2"/>
        <v>-127248.59</v>
      </c>
      <c r="N17" s="227">
        <f t="shared" si="3"/>
        <v>-38.844093800749725</v>
      </c>
      <c r="O17" s="242"/>
      <c r="P17" s="201">
        <v>1959145.86</v>
      </c>
      <c r="Q17" s="201">
        <v>2181981.6</v>
      </c>
      <c r="R17" s="244">
        <f t="shared" si="4"/>
        <v>222835.74</v>
      </c>
    </row>
    <row r="18" spans="1:229" x14ac:dyDescent="0.25">
      <c r="A18" s="40">
        <v>8</v>
      </c>
      <c r="B18" s="171" t="s">
        <v>185</v>
      </c>
      <c r="C18" s="169">
        <v>1380</v>
      </c>
      <c r="D18" s="214">
        <v>1064758.95</v>
      </c>
      <c r="E18" s="18">
        <v>17</v>
      </c>
      <c r="F18" s="170">
        <v>4</v>
      </c>
      <c r="G18" s="18">
        <v>5</v>
      </c>
      <c r="H18" s="204"/>
      <c r="I18" s="169">
        <v>1400</v>
      </c>
      <c r="J18" s="226">
        <f t="shared" si="0"/>
        <v>-20</v>
      </c>
      <c r="K18" s="227">
        <f t="shared" si="1"/>
        <v>-1.4285714285714286</v>
      </c>
      <c r="L18" s="214">
        <v>765977</v>
      </c>
      <c r="M18" s="228">
        <f t="shared" si="2"/>
        <v>298781.94999999995</v>
      </c>
      <c r="N18" s="227">
        <f t="shared" si="3"/>
        <v>39.006647719187384</v>
      </c>
      <c r="O18" s="242"/>
      <c r="P18" s="201">
        <v>5246498.58</v>
      </c>
      <c r="Q18" s="201">
        <v>5434657.5199999996</v>
      </c>
      <c r="R18" s="244">
        <f t="shared" si="4"/>
        <v>188158.93999999948</v>
      </c>
    </row>
    <row r="19" spans="1:229" x14ac:dyDescent="0.25">
      <c r="A19" s="40">
        <v>9</v>
      </c>
      <c r="B19" s="171" t="s">
        <v>186</v>
      </c>
      <c r="C19" s="169">
        <v>390</v>
      </c>
      <c r="D19" s="214">
        <v>2103092.98</v>
      </c>
      <c r="E19" s="18">
        <v>104</v>
      </c>
      <c r="F19" s="170">
        <v>7</v>
      </c>
      <c r="G19" s="18">
        <v>2</v>
      </c>
      <c r="H19" s="204"/>
      <c r="I19" s="169">
        <v>393</v>
      </c>
      <c r="J19" s="226">
        <f t="shared" si="0"/>
        <v>-3</v>
      </c>
      <c r="K19" s="227">
        <f t="shared" si="1"/>
        <v>-0.76335877862595414</v>
      </c>
      <c r="L19" s="214">
        <v>1839136</v>
      </c>
      <c r="M19" s="228">
        <f t="shared" si="2"/>
        <v>263956.98</v>
      </c>
      <c r="N19" s="227">
        <f t="shared" si="3"/>
        <v>14.352227350234022</v>
      </c>
      <c r="O19" s="242"/>
      <c r="P19" s="201">
        <v>1864382.04</v>
      </c>
      <c r="Q19" s="201">
        <v>1750549.45</v>
      </c>
      <c r="R19" s="244">
        <f t="shared" si="4"/>
        <v>-113832.59000000008</v>
      </c>
    </row>
    <row r="20" spans="1:229" x14ac:dyDescent="0.25">
      <c r="A20" s="40">
        <v>10</v>
      </c>
      <c r="B20" s="171" t="s">
        <v>187</v>
      </c>
      <c r="C20" s="169">
        <v>515</v>
      </c>
      <c r="D20" s="214">
        <v>486534.17</v>
      </c>
      <c r="E20" s="18">
        <v>35</v>
      </c>
      <c r="F20" s="170">
        <v>7</v>
      </c>
      <c r="G20" s="18">
        <v>4</v>
      </c>
      <c r="H20" s="204"/>
      <c r="I20" s="169">
        <v>550</v>
      </c>
      <c r="J20" s="226">
        <f t="shared" si="0"/>
        <v>-35</v>
      </c>
      <c r="K20" s="227">
        <f t="shared" si="1"/>
        <v>-6.3636363636363633</v>
      </c>
      <c r="L20" s="214">
        <v>439695</v>
      </c>
      <c r="M20" s="228">
        <f t="shared" si="2"/>
        <v>46839.169999999984</v>
      </c>
      <c r="N20" s="227">
        <f t="shared" si="3"/>
        <v>10.652650132478191</v>
      </c>
      <c r="O20" s="242"/>
      <c r="P20" s="201">
        <v>3347158.06</v>
      </c>
      <c r="Q20" s="201">
        <v>3311519.39</v>
      </c>
      <c r="R20" s="244">
        <f t="shared" si="4"/>
        <v>-35638.669999999925</v>
      </c>
    </row>
    <row r="21" spans="1:229" x14ac:dyDescent="0.25">
      <c r="A21" s="40">
        <v>11</v>
      </c>
      <c r="B21" s="171" t="s">
        <v>188</v>
      </c>
      <c r="C21" s="169">
        <v>896</v>
      </c>
      <c r="D21" s="214">
        <v>743935.96</v>
      </c>
      <c r="E21" s="18">
        <v>32</v>
      </c>
      <c r="F21" s="170">
        <v>5</v>
      </c>
      <c r="G21" s="18">
        <v>3</v>
      </c>
      <c r="H21" s="204"/>
      <c r="I21" s="169">
        <v>929</v>
      </c>
      <c r="J21" s="226">
        <f t="shared" si="0"/>
        <v>-33</v>
      </c>
      <c r="K21" s="227">
        <f t="shared" si="1"/>
        <v>-3.5522066738428419</v>
      </c>
      <c r="L21" s="214">
        <v>590013</v>
      </c>
      <c r="M21" s="228">
        <f t="shared" si="2"/>
        <v>153922.95999999996</v>
      </c>
      <c r="N21" s="227">
        <f t="shared" si="3"/>
        <v>26.088062466420226</v>
      </c>
      <c r="O21" s="242"/>
      <c r="P21" s="201">
        <v>4210205.33</v>
      </c>
      <c r="Q21" s="201">
        <v>4281141.7300000004</v>
      </c>
      <c r="R21" s="244">
        <f t="shared" si="4"/>
        <v>70936.400000000373</v>
      </c>
    </row>
    <row r="22" spans="1:229" ht="26.25" x14ac:dyDescent="0.25">
      <c r="A22" s="40">
        <v>12</v>
      </c>
      <c r="B22" s="171" t="s">
        <v>189</v>
      </c>
      <c r="C22" s="169">
        <v>1249</v>
      </c>
      <c r="D22" s="214">
        <v>1308602.6000000001</v>
      </c>
      <c r="E22" s="18">
        <v>51</v>
      </c>
      <c r="F22" s="170">
        <v>4</v>
      </c>
      <c r="G22" s="18">
        <v>2</v>
      </c>
      <c r="H22" s="204"/>
      <c r="I22" s="169">
        <v>1288</v>
      </c>
      <c r="J22" s="226">
        <f t="shared" si="0"/>
        <v>-39</v>
      </c>
      <c r="K22" s="227">
        <f t="shared" si="1"/>
        <v>-3.0279503105590062</v>
      </c>
      <c r="L22" s="214">
        <v>1117918</v>
      </c>
      <c r="M22" s="228">
        <f t="shared" si="2"/>
        <v>190684.60000000009</v>
      </c>
      <c r="N22" s="227">
        <f t="shared" si="3"/>
        <v>17.057118679545376</v>
      </c>
      <c r="O22" s="242"/>
      <c r="P22" s="201">
        <v>5431142.5300000003</v>
      </c>
      <c r="Q22" s="201">
        <v>5692005.4299999997</v>
      </c>
      <c r="R22" s="244">
        <f t="shared" si="4"/>
        <v>260862.89999999944</v>
      </c>
    </row>
    <row r="23" spans="1:229" ht="26.25" x14ac:dyDescent="0.25">
      <c r="A23" s="40">
        <v>13</v>
      </c>
      <c r="B23" s="171" t="s">
        <v>190</v>
      </c>
      <c r="C23" s="169">
        <v>206</v>
      </c>
      <c r="D23" s="214">
        <v>169925.22999999998</v>
      </c>
      <c r="E23" s="18">
        <v>71</v>
      </c>
      <c r="F23" s="170">
        <v>8</v>
      </c>
      <c r="G23" s="18">
        <v>3</v>
      </c>
      <c r="H23" s="204"/>
      <c r="I23" s="169">
        <v>216</v>
      </c>
      <c r="J23" s="226">
        <f t="shared" si="0"/>
        <v>-10</v>
      </c>
      <c r="K23" s="227">
        <f t="shared" si="1"/>
        <v>-4.6296296296296298</v>
      </c>
      <c r="L23" s="214">
        <v>229290</v>
      </c>
      <c r="M23" s="228">
        <f t="shared" si="2"/>
        <v>-59364.770000000019</v>
      </c>
      <c r="N23" s="227">
        <f t="shared" si="3"/>
        <v>-25.890693008853425</v>
      </c>
      <c r="O23" s="242"/>
      <c r="P23" s="201">
        <v>1762874.9</v>
      </c>
      <c r="Q23" s="201">
        <v>1848124.95</v>
      </c>
      <c r="R23" s="244">
        <f t="shared" si="4"/>
        <v>85250.050000000047</v>
      </c>
    </row>
    <row r="24" spans="1:229" x14ac:dyDescent="0.25">
      <c r="A24" s="40">
        <v>14</v>
      </c>
      <c r="B24" s="171" t="s">
        <v>191</v>
      </c>
      <c r="C24" s="169">
        <v>474</v>
      </c>
      <c r="D24" s="214">
        <v>429144.87</v>
      </c>
      <c r="E24" s="18">
        <v>39</v>
      </c>
      <c r="F24" s="170">
        <v>7</v>
      </c>
      <c r="G24" s="18">
        <v>7</v>
      </c>
      <c r="H24" s="204"/>
      <c r="I24" s="169">
        <v>485</v>
      </c>
      <c r="J24" s="226">
        <f t="shared" si="0"/>
        <v>-11</v>
      </c>
      <c r="K24" s="227">
        <f t="shared" si="1"/>
        <v>-2.268041237113402</v>
      </c>
      <c r="L24" s="214">
        <v>407466</v>
      </c>
      <c r="M24" s="228">
        <f t="shared" si="2"/>
        <v>21678.869999999995</v>
      </c>
      <c r="N24" s="227">
        <f t="shared" si="3"/>
        <v>5.3204120098364029</v>
      </c>
      <c r="O24" s="242"/>
      <c r="P24" s="201">
        <v>3945724.4</v>
      </c>
      <c r="Q24" s="201">
        <v>4060054.14</v>
      </c>
      <c r="R24" s="244">
        <f t="shared" si="4"/>
        <v>114329.74000000022</v>
      </c>
    </row>
    <row r="25" spans="1:229" ht="26.25" x14ac:dyDescent="0.25">
      <c r="A25" s="40">
        <v>15</v>
      </c>
      <c r="B25" s="171" t="s">
        <v>192</v>
      </c>
      <c r="C25" s="169">
        <v>1095</v>
      </c>
      <c r="D25" s="214">
        <v>888034.07</v>
      </c>
      <c r="E25" s="18">
        <v>41</v>
      </c>
      <c r="F25" s="170">
        <v>5</v>
      </c>
      <c r="G25" s="18">
        <v>4</v>
      </c>
      <c r="H25" s="204"/>
      <c r="I25" s="169">
        <v>1105</v>
      </c>
      <c r="J25" s="226">
        <f t="shared" si="0"/>
        <v>-10</v>
      </c>
      <c r="K25" s="227">
        <f t="shared" si="1"/>
        <v>-0.90497737556561098</v>
      </c>
      <c r="L25" s="214">
        <v>928779</v>
      </c>
      <c r="M25" s="228">
        <f t="shared" si="2"/>
        <v>-40744.930000000051</v>
      </c>
      <c r="N25" s="227">
        <f t="shared" si="3"/>
        <v>-4.3869348897854117</v>
      </c>
      <c r="O25" s="242"/>
      <c r="P25" s="201">
        <v>6065428.5199999996</v>
      </c>
      <c r="Q25" s="201">
        <v>6599923.5099999998</v>
      </c>
      <c r="R25" s="244">
        <f t="shared" si="4"/>
        <v>534494.99000000022</v>
      </c>
    </row>
    <row r="26" spans="1:229" x14ac:dyDescent="0.25">
      <c r="A26" s="40">
        <v>16</v>
      </c>
      <c r="B26" s="171" t="s">
        <v>193</v>
      </c>
      <c r="C26" s="169">
        <v>485</v>
      </c>
      <c r="D26" s="214">
        <v>369476.71</v>
      </c>
      <c r="E26" s="18">
        <v>18</v>
      </c>
      <c r="F26" s="170">
        <v>7</v>
      </c>
      <c r="G26" s="18">
        <v>7</v>
      </c>
      <c r="H26" s="204"/>
      <c r="I26" s="169">
        <v>530</v>
      </c>
      <c r="J26" s="226">
        <f t="shared" si="0"/>
        <v>-45</v>
      </c>
      <c r="K26" s="227">
        <f t="shared" si="1"/>
        <v>-8.4905660377358494</v>
      </c>
      <c r="L26" s="214">
        <v>289699</v>
      </c>
      <c r="M26" s="228">
        <f t="shared" si="2"/>
        <v>79777.710000000021</v>
      </c>
      <c r="N26" s="227">
        <f t="shared" si="3"/>
        <v>27.538137860330902</v>
      </c>
      <c r="O26" s="242"/>
      <c r="P26" s="201">
        <v>3158787.32</v>
      </c>
      <c r="Q26" s="201">
        <v>2982701.76</v>
      </c>
      <c r="R26" s="244">
        <f t="shared" si="4"/>
        <v>-176085.56000000006</v>
      </c>
    </row>
    <row r="27" spans="1:229" x14ac:dyDescent="0.25">
      <c r="A27" s="40">
        <v>17</v>
      </c>
      <c r="B27" s="171" t="s">
        <v>194</v>
      </c>
      <c r="C27" s="169">
        <v>115</v>
      </c>
      <c r="D27" s="214">
        <v>54228.49</v>
      </c>
      <c r="E27" s="18">
        <v>48</v>
      </c>
      <c r="F27" s="170">
        <v>8</v>
      </c>
      <c r="G27" s="18">
        <v>2</v>
      </c>
      <c r="H27" s="204"/>
      <c r="I27" s="169">
        <v>129</v>
      </c>
      <c r="J27" s="226">
        <f t="shared" si="0"/>
        <v>-14</v>
      </c>
      <c r="K27" s="227">
        <f t="shared" si="1"/>
        <v>-10.852713178294573</v>
      </c>
      <c r="L27" s="214">
        <v>80641</v>
      </c>
      <c r="M27" s="228">
        <f t="shared" si="2"/>
        <v>-26412.510000000002</v>
      </c>
      <c r="N27" s="227">
        <f t="shared" si="3"/>
        <v>-32.753202465247213</v>
      </c>
      <c r="O27" s="242"/>
      <c r="P27" s="201">
        <v>809640.55</v>
      </c>
      <c r="Q27" s="201">
        <v>789519.098</v>
      </c>
      <c r="R27" s="244">
        <f t="shared" si="4"/>
        <v>-20121.452000000048</v>
      </c>
    </row>
    <row r="28" spans="1:229" x14ac:dyDescent="0.25">
      <c r="A28" s="40">
        <v>18</v>
      </c>
      <c r="B28" s="171" t="s">
        <v>195</v>
      </c>
      <c r="C28" s="169">
        <v>140</v>
      </c>
      <c r="D28" s="214">
        <v>103132.49</v>
      </c>
      <c r="E28" s="18">
        <v>86</v>
      </c>
      <c r="F28" s="170">
        <v>8</v>
      </c>
      <c r="G28" s="18">
        <v>4</v>
      </c>
      <c r="H28" s="204"/>
      <c r="I28" s="169">
        <v>145</v>
      </c>
      <c r="J28" s="226">
        <f t="shared" si="0"/>
        <v>-5</v>
      </c>
      <c r="K28" s="227">
        <f t="shared" si="1"/>
        <v>-3.4482758620689653</v>
      </c>
      <c r="L28" s="214">
        <v>113339</v>
      </c>
      <c r="M28" s="228">
        <f t="shared" si="2"/>
        <v>-10206.509999999995</v>
      </c>
      <c r="N28" s="227">
        <f t="shared" si="3"/>
        <v>-9.0052938529544058</v>
      </c>
      <c r="O28" s="242"/>
      <c r="P28" s="201">
        <v>1520740.88</v>
      </c>
      <c r="Q28" s="201">
        <v>1539972.09</v>
      </c>
      <c r="R28" s="244">
        <f t="shared" si="4"/>
        <v>19231.210000000196</v>
      </c>
    </row>
    <row r="29" spans="1:229" s="246" customFormat="1" x14ac:dyDescent="0.25">
      <c r="A29" s="239">
        <v>19</v>
      </c>
      <c r="B29" s="171" t="s">
        <v>196</v>
      </c>
      <c r="C29" s="169">
        <v>1040</v>
      </c>
      <c r="D29" s="214">
        <v>807944.5</v>
      </c>
      <c r="E29" s="18">
        <v>6</v>
      </c>
      <c r="F29" s="172">
        <v>5</v>
      </c>
      <c r="G29" s="18">
        <v>2</v>
      </c>
      <c r="H29" s="204"/>
      <c r="I29" s="169">
        <v>1047</v>
      </c>
      <c r="J29" s="226">
        <f t="shared" si="0"/>
        <v>-7</v>
      </c>
      <c r="K29" s="227">
        <f t="shared" si="1"/>
        <v>-0.66857688634192936</v>
      </c>
      <c r="L29" s="214">
        <v>769246</v>
      </c>
      <c r="M29" s="228">
        <f t="shared" si="2"/>
        <v>38698.5</v>
      </c>
      <c r="N29" s="227">
        <f t="shared" si="3"/>
        <v>5.0307053920332381</v>
      </c>
      <c r="O29" s="242"/>
      <c r="P29" s="245">
        <v>2013303.76</v>
      </c>
      <c r="Q29" s="245">
        <v>2125091.33</v>
      </c>
      <c r="R29" s="244">
        <f t="shared" si="4"/>
        <v>111787.57000000007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</row>
    <row r="30" spans="1:229" x14ac:dyDescent="0.25">
      <c r="A30" s="40">
        <v>20</v>
      </c>
      <c r="B30" s="171" t="s">
        <v>197</v>
      </c>
      <c r="C30" s="169">
        <v>724</v>
      </c>
      <c r="D30" s="214">
        <v>572075.25</v>
      </c>
      <c r="E30" s="18">
        <v>27</v>
      </c>
      <c r="F30" s="170">
        <v>6</v>
      </c>
      <c r="G30" s="18">
        <v>3</v>
      </c>
      <c r="H30" s="204"/>
      <c r="I30" s="169">
        <v>734</v>
      </c>
      <c r="J30" s="226">
        <f t="shared" si="0"/>
        <v>-10</v>
      </c>
      <c r="K30" s="227">
        <f t="shared" si="1"/>
        <v>-1.3623978201634876</v>
      </c>
      <c r="L30" s="214">
        <v>373321</v>
      </c>
      <c r="M30" s="228">
        <f t="shared" si="2"/>
        <v>198754.25</v>
      </c>
      <c r="N30" s="227">
        <f t="shared" si="3"/>
        <v>53.239504340768399</v>
      </c>
      <c r="O30" s="242"/>
      <c r="P30" s="201">
        <v>3479413.15</v>
      </c>
      <c r="Q30" s="201">
        <v>3515563.12</v>
      </c>
      <c r="R30" s="244">
        <f t="shared" si="4"/>
        <v>36149.970000000205</v>
      </c>
    </row>
    <row r="31" spans="1:229" ht="16.5" thickBot="1" x14ac:dyDescent="0.3">
      <c r="A31" s="215">
        <v>21</v>
      </c>
      <c r="B31" s="216" t="s">
        <v>198</v>
      </c>
      <c r="C31" s="217">
        <v>27196</v>
      </c>
      <c r="D31" s="218">
        <v>47391841.259999998</v>
      </c>
      <c r="E31" s="219">
        <v>0</v>
      </c>
      <c r="F31" s="220">
        <v>1</v>
      </c>
      <c r="G31" s="219">
        <v>3</v>
      </c>
      <c r="H31" s="204"/>
      <c r="I31" s="229">
        <v>27209</v>
      </c>
      <c r="J31" s="230">
        <f t="shared" si="0"/>
        <v>-13</v>
      </c>
      <c r="K31" s="231">
        <f t="shared" si="1"/>
        <v>-4.7778308647873864E-2</v>
      </c>
      <c r="L31" s="232">
        <v>38199099</v>
      </c>
      <c r="M31" s="233">
        <f t="shared" si="2"/>
        <v>9192742.2599999979</v>
      </c>
      <c r="N31" s="231">
        <f t="shared" si="3"/>
        <v>24.065337928520243</v>
      </c>
      <c r="O31" s="242"/>
      <c r="P31" s="201">
        <v>20524949.440000001</v>
      </c>
      <c r="Q31" s="201">
        <v>21343404.719999999</v>
      </c>
      <c r="R31" s="244">
        <f t="shared" si="4"/>
        <v>818455.27999999747</v>
      </c>
    </row>
    <row r="32" spans="1:229" ht="16.5" thickBot="1" x14ac:dyDescent="0.25">
      <c r="A32" s="20"/>
      <c r="B32" s="21" t="s">
        <v>6</v>
      </c>
      <c r="C32" s="22">
        <f>SUM(C11:C31)</f>
        <v>39838</v>
      </c>
      <c r="D32" s="22">
        <f>SUM(D11:D31)</f>
        <v>60443686</v>
      </c>
      <c r="E32" s="22">
        <f>SUM(E11:E31)</f>
        <v>911</v>
      </c>
      <c r="F32" s="22">
        <f>SUM(F11:F31)</f>
        <v>127</v>
      </c>
      <c r="G32" s="22">
        <f>SUM(G11:G31)</f>
        <v>77</v>
      </c>
      <c r="H32" s="204"/>
      <c r="I32" s="234">
        <f>SUM(I11:I31)</f>
        <v>40239</v>
      </c>
      <c r="J32" s="235">
        <f t="shared" si="0"/>
        <v>-401</v>
      </c>
      <c r="K32" s="237">
        <f t="shared" si="1"/>
        <v>-0.99654563980218192</v>
      </c>
      <c r="L32" s="22">
        <f>SUM(L11:L31)</f>
        <v>49787210</v>
      </c>
      <c r="M32" s="236">
        <f t="shared" si="2"/>
        <v>10656476</v>
      </c>
      <c r="N32" s="238">
        <f t="shared" si="3"/>
        <v>21.404043327593573</v>
      </c>
      <c r="O32" s="243"/>
      <c r="P32" s="202">
        <v>86725866.999999985</v>
      </c>
      <c r="Q32" s="202">
        <f>SUM(Q11:Q31)</f>
        <v>89328110.99919349</v>
      </c>
      <c r="R32" s="244">
        <f t="shared" si="4"/>
        <v>2602243.9991935045</v>
      </c>
    </row>
    <row r="34" spans="2:3" ht="318.75" x14ac:dyDescent="0.2">
      <c r="B34" s="189" t="s">
        <v>209</v>
      </c>
      <c r="C34" s="187"/>
    </row>
    <row r="35" spans="2:3" ht="18.75" x14ac:dyDescent="0.2">
      <c r="B35" s="186"/>
      <c r="C35" s="187"/>
    </row>
    <row r="36" spans="2:3" ht="18.75" x14ac:dyDescent="0.2">
      <c r="B36" s="186"/>
      <c r="C36" s="187"/>
    </row>
    <row r="37" spans="2:3" ht="18.75" x14ac:dyDescent="0.2">
      <c r="B37" s="186"/>
      <c r="C37" s="187"/>
    </row>
    <row r="38" spans="2:3" ht="18.75" x14ac:dyDescent="0.2">
      <c r="B38" s="186"/>
      <c r="C38" s="187"/>
    </row>
    <row r="39" spans="2:3" ht="18.75" x14ac:dyDescent="0.2">
      <c r="B39" s="186"/>
      <c r="C39" s="187"/>
    </row>
    <row r="40" spans="2:3" ht="18.75" x14ac:dyDescent="0.2">
      <c r="B40" s="186"/>
      <c r="C40" s="187"/>
    </row>
    <row r="41" spans="2:3" ht="18.75" x14ac:dyDescent="0.2">
      <c r="B41" s="188"/>
      <c r="C41" s="187"/>
    </row>
  </sheetData>
  <sheetProtection selectLockedCells="1" selectUnlockedCells="1"/>
  <mergeCells count="12">
    <mergeCell ref="Q5:Q7"/>
    <mergeCell ref="P5:P7"/>
    <mergeCell ref="A2:G2"/>
    <mergeCell ref="E6:G7"/>
    <mergeCell ref="A5:A9"/>
    <mergeCell ref="I6:K6"/>
    <mergeCell ref="L6:N6"/>
    <mergeCell ref="J7:K7"/>
    <mergeCell ref="M7:N7"/>
    <mergeCell ref="B3:G3"/>
    <mergeCell ref="B5:B8"/>
    <mergeCell ref="C5:G5"/>
  </mergeCells>
  <printOptions horizontalCentered="1"/>
  <pageMargins left="0" right="0" top="0.39370078740157483" bottom="0.39370078740157483" header="0.23622047244094491" footer="0.51181102362204722"/>
  <pageSetup paperSize="9" scale="68" firstPageNumber="0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zoomScale="85" zoomScaleNormal="85" workbookViewId="0">
      <selection activeCell="K15" sqref="K15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5" width="19.7109375" style="9" customWidth="1"/>
    <col min="6" max="6" width="16.85546875" style="9" hidden="1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11" x14ac:dyDescent="0.2">
      <c r="C1" s="10"/>
      <c r="D1" s="10"/>
      <c r="E1" s="10"/>
      <c r="F1" s="10"/>
    </row>
    <row r="2" spans="1:11" s="11" customFormat="1" ht="18.75" x14ac:dyDescent="0.2">
      <c r="A2" s="256" t="s">
        <v>64</v>
      </c>
      <c r="B2" s="256"/>
      <c r="C2" s="256"/>
      <c r="D2" s="256"/>
      <c r="E2" s="256"/>
      <c r="F2" s="256"/>
      <c r="G2" s="256"/>
    </row>
    <row r="3" spans="1:11" ht="16.5" thickBot="1" x14ac:dyDescent="0.25">
      <c r="B3" s="12"/>
    </row>
    <row r="4" spans="1:11" s="7" customFormat="1" ht="106.5" customHeight="1" thickBot="1" x14ac:dyDescent="0.25">
      <c r="A4" s="257" t="s">
        <v>0</v>
      </c>
      <c r="B4" s="259" t="s">
        <v>62</v>
      </c>
      <c r="C4" s="184" t="s">
        <v>203</v>
      </c>
      <c r="D4" s="184" t="s">
        <v>202</v>
      </c>
      <c r="E4" s="184" t="s">
        <v>204</v>
      </c>
      <c r="F4" s="181" t="s">
        <v>75</v>
      </c>
      <c r="G4" s="261" t="s">
        <v>65</v>
      </c>
    </row>
    <row r="5" spans="1:11" s="13" customFormat="1" ht="53.25" customHeight="1" thickBot="1" x14ac:dyDescent="0.25">
      <c r="A5" s="258"/>
      <c r="B5" s="260"/>
      <c r="C5" s="185" t="s">
        <v>205</v>
      </c>
      <c r="D5" s="185" t="s">
        <v>206</v>
      </c>
      <c r="E5" s="185" t="s">
        <v>207</v>
      </c>
      <c r="F5" s="182" t="s">
        <v>76</v>
      </c>
      <c r="G5" s="262"/>
      <c r="J5" s="177"/>
      <c r="K5" s="177"/>
    </row>
    <row r="6" spans="1:11" s="14" customFormat="1" thickBot="1" x14ac:dyDescent="0.25">
      <c r="A6" s="41">
        <v>1</v>
      </c>
      <c r="B6" s="42">
        <f t="shared" ref="B6:G6" si="0">A6+1</f>
        <v>2</v>
      </c>
      <c r="C6" s="183">
        <f t="shared" si="0"/>
        <v>3</v>
      </c>
      <c r="D6" s="183">
        <f t="shared" si="0"/>
        <v>4</v>
      </c>
      <c r="E6" s="183">
        <f t="shared" si="0"/>
        <v>5</v>
      </c>
      <c r="F6" s="85">
        <f t="shared" si="0"/>
        <v>6</v>
      </c>
      <c r="G6" s="86">
        <v>6</v>
      </c>
      <c r="J6" s="178"/>
      <c r="K6" s="178"/>
    </row>
    <row r="7" spans="1:11" x14ac:dyDescent="0.2">
      <c r="A7" s="121">
        <v>1</v>
      </c>
      <c r="B7" s="173" t="s">
        <v>178</v>
      </c>
      <c r="C7" s="174">
        <f>1+'Исходные данные'!E11/MIN('Исходные данные'!E$11:E$30)</f>
        <v>13.5</v>
      </c>
      <c r="D7" s="174">
        <f>1+'Исходные данные'!F11/MIN('Исходные данные'!F$11:F$31)</f>
        <v>7</v>
      </c>
      <c r="E7" s="174">
        <f>1+'Исходные данные'!G11/MIN('Исходные данные'!G$11:G$31)</f>
        <v>4</v>
      </c>
      <c r="F7" s="122"/>
      <c r="G7" s="176">
        <f>POWER(C7*E7*D7,1/2)</f>
        <v>19.442222095223581</v>
      </c>
      <c r="H7" s="19"/>
      <c r="J7" s="180"/>
      <c r="K7" s="179"/>
    </row>
    <row r="8" spans="1:11" s="15" customFormat="1" x14ac:dyDescent="0.2">
      <c r="A8" s="83">
        <v>2</v>
      </c>
      <c r="B8" s="175" t="s">
        <v>179</v>
      </c>
      <c r="C8" s="174">
        <f>1+'Исходные данные'!E12/MIN('Исходные данные'!E$11:E$30)</f>
        <v>6</v>
      </c>
      <c r="D8" s="174">
        <f>1+'Исходные данные'!F12/MIN('Исходные данные'!F$11:F$31)</f>
        <v>8</v>
      </c>
      <c r="E8" s="174">
        <f>1+'Исходные данные'!G12/MIN('Исходные данные'!G$11:G$31)</f>
        <v>2</v>
      </c>
      <c r="F8" s="123"/>
      <c r="G8" s="176">
        <f t="shared" ref="G8:G27" si="1">POWER(C8*E8*D8,1/2)</f>
        <v>9.7979589711327115</v>
      </c>
      <c r="H8" s="19"/>
      <c r="J8" s="179"/>
      <c r="K8" s="179"/>
    </row>
    <row r="9" spans="1:11" s="15" customFormat="1" x14ac:dyDescent="0.2">
      <c r="A9" s="84">
        <v>3</v>
      </c>
      <c r="B9" s="175" t="s">
        <v>180</v>
      </c>
      <c r="C9" s="174">
        <f>1+'Исходные данные'!E13/MIN('Исходные данные'!E$11:E$30)</f>
        <v>11.833333333333334</v>
      </c>
      <c r="D9" s="174">
        <f>1+'Исходные данные'!F13/MIN('Исходные данные'!F$11:F$31)</f>
        <v>8</v>
      </c>
      <c r="E9" s="174">
        <f>1+'Исходные данные'!G13/MIN('Исходные данные'!G$11:G$31)</f>
        <v>2.5</v>
      </c>
      <c r="F9" s="123"/>
      <c r="G9" s="176">
        <f t="shared" si="1"/>
        <v>15.383974345619102</v>
      </c>
      <c r="H9" s="19"/>
      <c r="J9" s="179"/>
      <c r="K9" s="179"/>
    </row>
    <row r="10" spans="1:11" s="15" customFormat="1" x14ac:dyDescent="0.2">
      <c r="A10" s="83">
        <v>4</v>
      </c>
      <c r="B10" s="175" t="s">
        <v>181</v>
      </c>
      <c r="C10" s="174">
        <f>1+'Исходные данные'!E14/MIN('Исходные данные'!E$11:E$30)</f>
        <v>6</v>
      </c>
      <c r="D10" s="174">
        <f>1+'Исходные данные'!F14/MIN('Исходные данные'!F$11:F$31)</f>
        <v>8</v>
      </c>
      <c r="E10" s="174">
        <f>1+'Исходные данные'!G14/MIN('Исходные данные'!G$11:G$31)</f>
        <v>3</v>
      </c>
      <c r="F10" s="123"/>
      <c r="G10" s="176">
        <f t="shared" si="1"/>
        <v>12</v>
      </c>
      <c r="H10" s="19"/>
      <c r="J10" s="179"/>
      <c r="K10" s="179"/>
    </row>
    <row r="11" spans="1:11" s="15" customFormat="1" x14ac:dyDescent="0.2">
      <c r="A11" s="84">
        <v>5</v>
      </c>
      <c r="B11" s="175" t="s">
        <v>182</v>
      </c>
      <c r="C11" s="174">
        <f>1+'Исходные данные'!E15/MIN('Исходные данные'!E$11:E$30)</f>
        <v>10.833333333333334</v>
      </c>
      <c r="D11" s="174">
        <f>1+'Исходные данные'!F15/MIN('Исходные данные'!F$11:F$31)</f>
        <v>9</v>
      </c>
      <c r="E11" s="174">
        <f>1+'Исходные данные'!G15/MIN('Исходные данные'!G$11:G$31)</f>
        <v>3</v>
      </c>
      <c r="F11" s="123"/>
      <c r="G11" s="176">
        <f t="shared" si="1"/>
        <v>17.102631376487071</v>
      </c>
      <c r="H11" s="19"/>
      <c r="J11" s="179"/>
      <c r="K11" s="179"/>
    </row>
    <row r="12" spans="1:11" s="15" customFormat="1" x14ac:dyDescent="0.2">
      <c r="A12" s="83">
        <v>6</v>
      </c>
      <c r="B12" s="175" t="s">
        <v>183</v>
      </c>
      <c r="C12" s="174">
        <f>1+'Исходные данные'!E16/MIN('Исходные данные'!E$11:E$30)</f>
        <v>8.3333333333333321</v>
      </c>
      <c r="D12" s="174">
        <f>1+'Исходные данные'!F16/MIN('Исходные данные'!F$11:F$31)</f>
        <v>4</v>
      </c>
      <c r="E12" s="174">
        <f>1+'Исходные данные'!G16/MIN('Исходные данные'!G$11:G$31)</f>
        <v>2.5</v>
      </c>
      <c r="F12" s="123"/>
      <c r="G12" s="176">
        <f t="shared" si="1"/>
        <v>9.1287092917527684</v>
      </c>
      <c r="H12" s="19"/>
      <c r="J12" s="179"/>
      <c r="K12" s="179"/>
    </row>
    <row r="13" spans="1:11" s="15" customFormat="1" x14ac:dyDescent="0.2">
      <c r="A13" s="84">
        <v>7</v>
      </c>
      <c r="B13" s="175" t="s">
        <v>184</v>
      </c>
      <c r="C13" s="174">
        <f>1+'Исходные данные'!E17/MIN('Исходные данные'!E$11:E$30)</f>
        <v>6.5</v>
      </c>
      <c r="D13" s="174">
        <f>1+'Исходные данные'!F17/MIN('Исходные данные'!F$11:F$31)</f>
        <v>8</v>
      </c>
      <c r="E13" s="174">
        <f>1+'Исходные данные'!G17/MIN('Исходные данные'!G$11:G$31)</f>
        <v>3</v>
      </c>
      <c r="F13" s="123"/>
      <c r="G13" s="176">
        <f t="shared" si="1"/>
        <v>12.489995996796797</v>
      </c>
      <c r="H13" s="19"/>
    </row>
    <row r="14" spans="1:11" s="15" customFormat="1" x14ac:dyDescent="0.2">
      <c r="A14" s="83">
        <v>8</v>
      </c>
      <c r="B14" s="175" t="s">
        <v>185</v>
      </c>
      <c r="C14" s="174">
        <f>1+'Исходные данные'!E18/MIN('Исходные данные'!E$11:E$30)</f>
        <v>3.8333333333333335</v>
      </c>
      <c r="D14" s="174">
        <f>1+'Исходные данные'!F18/MIN('Исходные данные'!F$11:F$31)</f>
        <v>5</v>
      </c>
      <c r="E14" s="174">
        <f>1+'Исходные данные'!G18/MIN('Исходные данные'!G$11:G$31)</f>
        <v>3.5</v>
      </c>
      <c r="F14" s="123"/>
      <c r="G14" s="176">
        <f t="shared" si="1"/>
        <v>8.1904415835370763</v>
      </c>
      <c r="H14" s="19"/>
    </row>
    <row r="15" spans="1:11" s="15" customFormat="1" x14ac:dyDescent="0.2">
      <c r="A15" s="84">
        <v>9</v>
      </c>
      <c r="B15" s="175" t="s">
        <v>186</v>
      </c>
      <c r="C15" s="174">
        <f>1+'Исходные данные'!E19/MIN('Исходные данные'!E$11:E$30)</f>
        <v>18.333333333333332</v>
      </c>
      <c r="D15" s="174">
        <f>1+'Исходные данные'!F19/MIN('Исходные данные'!F$11:F$31)</f>
        <v>8</v>
      </c>
      <c r="E15" s="174">
        <f>1+'Исходные данные'!G19/MIN('Исходные данные'!G$11:G$31)</f>
        <v>2</v>
      </c>
      <c r="F15" s="123"/>
      <c r="G15" s="176">
        <f t="shared" si="1"/>
        <v>17.126976771553505</v>
      </c>
      <c r="H15" s="19"/>
    </row>
    <row r="16" spans="1:11" s="15" customFormat="1" x14ac:dyDescent="0.2">
      <c r="A16" s="83">
        <v>10</v>
      </c>
      <c r="B16" s="175" t="s">
        <v>187</v>
      </c>
      <c r="C16" s="174">
        <f>1+'Исходные данные'!E20/MIN('Исходные данные'!E$11:E$30)</f>
        <v>6.833333333333333</v>
      </c>
      <c r="D16" s="174">
        <f>1+'Исходные данные'!F20/MIN('Исходные данные'!F$11:F$31)</f>
        <v>8</v>
      </c>
      <c r="E16" s="174">
        <f>1+'Исходные данные'!G20/MIN('Исходные данные'!G$11:G$31)</f>
        <v>3</v>
      </c>
      <c r="F16" s="123"/>
      <c r="G16" s="176">
        <f t="shared" si="1"/>
        <v>12.806248474865697</v>
      </c>
      <c r="H16" s="19"/>
    </row>
    <row r="17" spans="1:8" s="15" customFormat="1" x14ac:dyDescent="0.2">
      <c r="A17" s="84">
        <v>11</v>
      </c>
      <c r="B17" s="175" t="s">
        <v>188</v>
      </c>
      <c r="C17" s="174">
        <f>1+'Исходные данные'!E21/MIN('Исходные данные'!E$11:E$30)</f>
        <v>6.333333333333333</v>
      </c>
      <c r="D17" s="174">
        <f>1+'Исходные данные'!F21/MIN('Исходные данные'!F$11:F$31)</f>
        <v>6</v>
      </c>
      <c r="E17" s="174">
        <f>1+'Исходные данные'!G21/MIN('Исходные данные'!G$11:G$31)</f>
        <v>2.5</v>
      </c>
      <c r="F17" s="123"/>
      <c r="G17" s="176">
        <f t="shared" si="1"/>
        <v>9.7467943448089631</v>
      </c>
      <c r="H17" s="19"/>
    </row>
    <row r="18" spans="1:8" x14ac:dyDescent="0.2">
      <c r="A18" s="83">
        <v>12</v>
      </c>
      <c r="B18" s="175" t="s">
        <v>189</v>
      </c>
      <c r="C18" s="174">
        <f>1+'Исходные данные'!E22/MIN('Исходные данные'!E$11:E$30)</f>
        <v>9.5</v>
      </c>
      <c r="D18" s="174">
        <f>1+'Исходные данные'!F22/MIN('Исходные данные'!F$11:F$31)</f>
        <v>5</v>
      </c>
      <c r="E18" s="174">
        <f>1+'Исходные данные'!G22/MIN('Исходные данные'!G$11:G$31)</f>
        <v>2</v>
      </c>
      <c r="F18" s="123"/>
      <c r="G18" s="176">
        <f t="shared" si="1"/>
        <v>9.7467943448089631</v>
      </c>
    </row>
    <row r="19" spans="1:8" x14ac:dyDescent="0.2">
      <c r="A19" s="84">
        <v>13</v>
      </c>
      <c r="B19" s="175" t="s">
        <v>190</v>
      </c>
      <c r="C19" s="174">
        <f>1+'Исходные данные'!E23/MIN('Исходные данные'!E$11:E$30)</f>
        <v>12.833333333333334</v>
      </c>
      <c r="D19" s="174">
        <f>1+'Исходные данные'!F23/MIN('Исходные данные'!F$11:F$31)</f>
        <v>9</v>
      </c>
      <c r="E19" s="174">
        <f>1+'Исходные данные'!G23/MIN('Исходные данные'!G$11:G$31)</f>
        <v>2.5</v>
      </c>
      <c r="F19" s="124"/>
      <c r="G19" s="176">
        <f t="shared" si="1"/>
        <v>16.99264546796643</v>
      </c>
    </row>
    <row r="20" spans="1:8" x14ac:dyDescent="0.2">
      <c r="A20" s="83">
        <v>14</v>
      </c>
      <c r="B20" s="175" t="s">
        <v>191</v>
      </c>
      <c r="C20" s="174">
        <f>1+'Исходные данные'!E24/MIN('Исходные данные'!E$11:E$30)</f>
        <v>7.5</v>
      </c>
      <c r="D20" s="174">
        <f>1+'Исходные данные'!F24/MIN('Исходные данные'!F$11:F$31)</f>
        <v>8</v>
      </c>
      <c r="E20" s="174">
        <f>1+'Исходные данные'!G24/MIN('Исходные данные'!G$11:G$31)</f>
        <v>4.5</v>
      </c>
      <c r="F20" s="124"/>
      <c r="G20" s="176">
        <f t="shared" si="1"/>
        <v>16.431676725154983</v>
      </c>
    </row>
    <row r="21" spans="1:8" x14ac:dyDescent="0.2">
      <c r="A21" s="84">
        <v>15</v>
      </c>
      <c r="B21" s="175" t="s">
        <v>192</v>
      </c>
      <c r="C21" s="174">
        <f>1+'Исходные данные'!E25/MIN('Исходные данные'!E$11:E$30)</f>
        <v>7.833333333333333</v>
      </c>
      <c r="D21" s="174">
        <f>1+'Исходные данные'!F25/MIN('Исходные данные'!F$11:F$31)</f>
        <v>6</v>
      </c>
      <c r="E21" s="174">
        <f>1+'Исходные данные'!G25/MIN('Исходные данные'!G$11:G$31)</f>
        <v>3</v>
      </c>
      <c r="F21" s="124"/>
      <c r="G21" s="176">
        <f t="shared" si="1"/>
        <v>11.874342087037917</v>
      </c>
    </row>
    <row r="22" spans="1:8" x14ac:dyDescent="0.2">
      <c r="A22" s="83">
        <v>16</v>
      </c>
      <c r="B22" s="175" t="s">
        <v>193</v>
      </c>
      <c r="C22" s="174">
        <f>1+'Исходные данные'!E26/MIN('Исходные данные'!E$11:E$30)</f>
        <v>4</v>
      </c>
      <c r="D22" s="174">
        <f>1+'Исходные данные'!F26/MIN('Исходные данные'!F$11:F$31)</f>
        <v>8</v>
      </c>
      <c r="E22" s="174">
        <f>1+'Исходные данные'!G26/MIN('Исходные данные'!G$11:G$31)</f>
        <v>4.5</v>
      </c>
      <c r="F22" s="124"/>
      <c r="G22" s="176">
        <f t="shared" si="1"/>
        <v>12</v>
      </c>
    </row>
    <row r="23" spans="1:8" x14ac:dyDescent="0.2">
      <c r="A23" s="84">
        <v>17</v>
      </c>
      <c r="B23" s="175" t="s">
        <v>194</v>
      </c>
      <c r="C23" s="174">
        <f>1+'Исходные данные'!E27/MIN('Исходные данные'!E$11:E$30)</f>
        <v>9</v>
      </c>
      <c r="D23" s="174">
        <f>1+'Исходные данные'!F27/MIN('Исходные данные'!F$11:F$31)</f>
        <v>9</v>
      </c>
      <c r="E23" s="174">
        <f>1+'Исходные данные'!G27/MIN('Исходные данные'!G$11:G$31)</f>
        <v>2</v>
      </c>
      <c r="F23" s="124"/>
      <c r="G23" s="176">
        <f t="shared" si="1"/>
        <v>12.727922061357855</v>
      </c>
    </row>
    <row r="24" spans="1:8" x14ac:dyDescent="0.2">
      <c r="A24" s="83">
        <v>18</v>
      </c>
      <c r="B24" s="175" t="s">
        <v>195</v>
      </c>
      <c r="C24" s="174">
        <f>1+'Исходные данные'!E28/MIN('Исходные данные'!E$11:E$30)</f>
        <v>15.333333333333334</v>
      </c>
      <c r="D24" s="174">
        <f>1+'Исходные данные'!F28/MIN('Исходные данные'!F$11:F$31)</f>
        <v>9</v>
      </c>
      <c r="E24" s="174">
        <f>1+'Исходные данные'!G28/MIN('Исходные данные'!G$11:G$31)</f>
        <v>3</v>
      </c>
      <c r="F24" s="124"/>
      <c r="G24" s="176">
        <f t="shared" si="1"/>
        <v>20.346989949375804</v>
      </c>
    </row>
    <row r="25" spans="1:8" x14ac:dyDescent="0.2">
      <c r="A25" s="84">
        <v>19</v>
      </c>
      <c r="B25" s="175" t="s">
        <v>196</v>
      </c>
      <c r="C25" s="174">
        <f>1+'Исходные данные'!E29/MIN('Исходные данные'!E$11:E$30)</f>
        <v>2</v>
      </c>
      <c r="D25" s="174">
        <f>1+'Исходные данные'!F29/MIN('Исходные данные'!F$11:F$31)</f>
        <v>6</v>
      </c>
      <c r="E25" s="174">
        <f>1+'Исходные данные'!G29/MIN('Исходные данные'!G$11:G$31)</f>
        <v>2</v>
      </c>
      <c r="F25" s="124"/>
      <c r="G25" s="176">
        <f t="shared" si="1"/>
        <v>4.8989794855663558</v>
      </c>
    </row>
    <row r="26" spans="1:8" x14ac:dyDescent="0.2">
      <c r="A26" s="83">
        <v>20</v>
      </c>
      <c r="B26" s="175" t="s">
        <v>197</v>
      </c>
      <c r="C26" s="174">
        <f>1+'Исходные данные'!E30/MIN('Исходные данные'!E$11:E$30)</f>
        <v>5.5</v>
      </c>
      <c r="D26" s="174">
        <f>1+'Исходные данные'!F30/MIN('Исходные данные'!F$11:F$31)</f>
        <v>7</v>
      </c>
      <c r="E26" s="174">
        <f>1+'Исходные данные'!G30/MIN('Исходные данные'!G$11:G$31)</f>
        <v>2.5</v>
      </c>
      <c r="F26" s="124"/>
      <c r="G26" s="176">
        <f t="shared" si="1"/>
        <v>9.8107084351742913</v>
      </c>
    </row>
    <row r="27" spans="1:8" x14ac:dyDescent="0.2">
      <c r="A27" s="84">
        <v>21</v>
      </c>
      <c r="B27" s="175" t="s">
        <v>198</v>
      </c>
      <c r="C27" s="174">
        <f>1+'Исходные данные'!E31/MIN('Исходные данные'!E$11:E$30)</f>
        <v>1</v>
      </c>
      <c r="D27" s="174">
        <f>1+'Исходные данные'!F31/MIN('Исходные данные'!F$11:F$31)</f>
        <v>2</v>
      </c>
      <c r="E27" s="174">
        <f>1+'Исходные данные'!G31/MIN('Исходные данные'!G$11:G$31)</f>
        <v>2.5</v>
      </c>
      <c r="F27" s="124"/>
      <c r="G27" s="176">
        <f t="shared" si="1"/>
        <v>2.2360679774997898</v>
      </c>
    </row>
    <row r="29" spans="1:8" ht="116.25" customHeight="1" x14ac:dyDescent="0.2">
      <c r="A29" s="263" t="s">
        <v>87</v>
      </c>
      <c r="B29" s="263"/>
      <c r="C29" s="263"/>
      <c r="D29" s="263"/>
      <c r="E29" s="263"/>
      <c r="F29" s="263"/>
      <c r="G29" s="263"/>
    </row>
  </sheetData>
  <sheetProtection selectLockedCells="1" selectUnlockedCells="1"/>
  <mergeCells count="5">
    <mergeCell ref="A2:G2"/>
    <mergeCell ref="A4:A5"/>
    <mergeCell ref="B4:B5"/>
    <mergeCell ref="G4:G5"/>
    <mergeCell ref="A29:G29"/>
  </mergeCells>
  <pageMargins left="0.59055118110236227" right="0.27559055118110237" top="0.51181102362204722" bottom="0.74803149606299213" header="0.27559055118110237" footer="0.51181102362204722"/>
  <pageSetup paperSize="9" scale="7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R36"/>
  <sheetViews>
    <sheetView tabSelected="1" topLeftCell="A4" zoomScale="70" zoomScaleNormal="70" workbookViewId="0">
      <pane xSplit="8670" topLeftCell="GF1" activePane="topRight"/>
      <selection activeCell="D18" sqref="D18"/>
      <selection pane="topRight" activeCell="GN3" sqref="GN3:GN30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7.285156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4.5703125" style="16" customWidth="1"/>
    <col min="54" max="54" width="16.8554687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5" width="15" style="16" customWidth="1"/>
    <col min="186" max="186" width="16.5703125" style="16" customWidth="1"/>
    <col min="187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6.140625" customWidth="1"/>
    <col min="196" max="196" width="20.5703125" style="16" customWidth="1"/>
    <col min="197" max="197" width="24.28515625" hidden="1" customWidth="1"/>
    <col min="198" max="198" width="20.5703125" style="16" hidden="1" customWidth="1"/>
    <col min="199" max="199" width="24.85546875" style="16" hidden="1" customWidth="1"/>
    <col min="200" max="200" width="0" style="16" hidden="1" customWidth="1"/>
    <col min="201" max="16384" width="15.28515625" style="16"/>
  </cols>
  <sheetData>
    <row r="1" spans="1:200" s="17" customFormat="1" ht="22.5" customHeight="1" x14ac:dyDescent="0.2">
      <c r="A1" s="110"/>
      <c r="B1" s="110" t="s">
        <v>220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</row>
    <row r="2" spans="1:200" s="5" customFormat="1" ht="16.5" thickBot="1" x14ac:dyDescent="0.25"/>
    <row r="3" spans="1:200" s="36" customFormat="1" ht="34.5" customHeight="1" thickBot="1" x14ac:dyDescent="0.25">
      <c r="A3" s="278" t="s">
        <v>7</v>
      </c>
      <c r="B3" s="281" t="s">
        <v>59</v>
      </c>
      <c r="C3" s="284" t="s">
        <v>9</v>
      </c>
      <c r="D3" s="285"/>
      <c r="E3" s="285"/>
      <c r="F3" s="286"/>
      <c r="G3" s="296" t="s">
        <v>60</v>
      </c>
      <c r="H3" s="297"/>
      <c r="I3" s="297"/>
      <c r="J3" s="298"/>
      <c r="K3" s="304" t="s">
        <v>84</v>
      </c>
      <c r="L3" s="68" t="s">
        <v>52</v>
      </c>
      <c r="M3" s="301" t="s">
        <v>80</v>
      </c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  <c r="AA3" s="302"/>
      <c r="AB3" s="302"/>
      <c r="AC3" s="302"/>
      <c r="AD3" s="302"/>
      <c r="AE3" s="302"/>
      <c r="AF3" s="302"/>
      <c r="AG3" s="302"/>
      <c r="AH3" s="302"/>
      <c r="AI3" s="302"/>
      <c r="AJ3" s="302"/>
      <c r="AK3" s="302"/>
      <c r="AL3" s="302"/>
      <c r="AM3" s="302"/>
      <c r="AN3" s="302"/>
      <c r="AO3" s="302"/>
      <c r="AP3" s="302"/>
      <c r="AQ3" s="302"/>
      <c r="AR3" s="302"/>
      <c r="AS3" s="302"/>
      <c r="AT3" s="302"/>
      <c r="AU3" s="302"/>
      <c r="AV3" s="302"/>
      <c r="AW3" s="302"/>
      <c r="AX3" s="302"/>
      <c r="AY3" s="302"/>
      <c r="AZ3" s="302"/>
      <c r="BA3" s="302"/>
      <c r="BB3" s="302"/>
      <c r="BC3" s="302"/>
      <c r="BD3" s="302"/>
      <c r="BE3" s="302"/>
      <c r="BF3" s="302"/>
      <c r="BG3" s="302"/>
      <c r="BH3" s="302"/>
      <c r="BI3" s="302"/>
      <c r="BJ3" s="302"/>
      <c r="BK3" s="302"/>
      <c r="BL3" s="302"/>
      <c r="BM3" s="302"/>
      <c r="BN3" s="302"/>
      <c r="BO3" s="302"/>
      <c r="BP3" s="302"/>
      <c r="BQ3" s="302"/>
      <c r="BR3" s="302"/>
      <c r="BS3" s="303"/>
      <c r="BT3" s="112"/>
      <c r="BU3" s="112"/>
      <c r="BV3" s="112"/>
      <c r="BW3" s="112"/>
      <c r="BX3" s="112"/>
      <c r="BY3" s="112"/>
      <c r="BZ3" s="112"/>
      <c r="CA3" s="112"/>
      <c r="CB3" s="112"/>
      <c r="CC3" s="112"/>
      <c r="CD3" s="112"/>
      <c r="CE3" s="112"/>
      <c r="CF3" s="112"/>
      <c r="CG3" s="112"/>
      <c r="CH3" s="112"/>
      <c r="CI3" s="112"/>
      <c r="CJ3" s="112"/>
      <c r="CK3" s="112"/>
      <c r="CL3" s="112"/>
      <c r="CM3" s="112"/>
      <c r="CN3" s="112"/>
      <c r="CO3" s="112"/>
      <c r="CP3" s="112"/>
      <c r="CQ3" s="112"/>
      <c r="CR3" s="112"/>
      <c r="CS3" s="112"/>
      <c r="CT3" s="112"/>
      <c r="CU3" s="112"/>
      <c r="CV3" s="112"/>
      <c r="CW3" s="112"/>
      <c r="CX3" s="112"/>
      <c r="CY3" s="112"/>
      <c r="CZ3" s="112"/>
      <c r="DA3" s="112"/>
      <c r="DB3" s="112"/>
      <c r="DC3" s="112"/>
      <c r="DD3" s="112"/>
      <c r="DE3" s="112"/>
      <c r="DF3" s="112"/>
      <c r="DG3" s="112"/>
      <c r="DH3" s="112"/>
      <c r="DI3" s="112"/>
      <c r="DJ3" s="112"/>
      <c r="DK3" s="112"/>
      <c r="DL3" s="112"/>
      <c r="DM3" s="112"/>
      <c r="DN3" s="112"/>
      <c r="DO3" s="112"/>
      <c r="DP3" s="112"/>
      <c r="DQ3" s="112"/>
      <c r="DR3" s="112"/>
      <c r="DS3" s="112"/>
      <c r="DT3" s="112"/>
      <c r="DU3" s="112"/>
      <c r="DV3" s="112"/>
      <c r="DW3" s="112"/>
      <c r="DX3" s="112"/>
      <c r="DY3" s="112"/>
      <c r="DZ3" s="112"/>
      <c r="EA3" s="112"/>
      <c r="EB3" s="112"/>
      <c r="EC3" s="112"/>
      <c r="ED3" s="112"/>
      <c r="EE3" s="112"/>
      <c r="EF3" s="112"/>
      <c r="EG3" s="112"/>
      <c r="EH3" s="112"/>
      <c r="EI3" s="112"/>
      <c r="EJ3" s="112"/>
      <c r="EK3" s="112"/>
      <c r="EL3" s="112"/>
      <c r="EM3" s="112"/>
      <c r="EN3" s="112"/>
      <c r="EO3" s="112"/>
      <c r="EP3" s="112"/>
      <c r="EQ3" s="112"/>
      <c r="ER3" s="112"/>
      <c r="ES3" s="112"/>
      <c r="ET3" s="112"/>
      <c r="EU3" s="112"/>
      <c r="EV3" s="112"/>
      <c r="EW3" s="112"/>
      <c r="EX3" s="112"/>
      <c r="EY3" s="112"/>
      <c r="EZ3" s="112"/>
      <c r="FA3" s="112"/>
      <c r="FB3" s="112"/>
      <c r="FC3" s="112"/>
      <c r="FD3" s="112"/>
      <c r="FE3" s="112"/>
      <c r="FF3" s="112"/>
      <c r="FG3" s="112"/>
      <c r="FH3" s="112"/>
      <c r="FI3" s="112"/>
      <c r="FJ3" s="112"/>
      <c r="FK3" s="112"/>
      <c r="FL3" s="112"/>
      <c r="FM3" s="112"/>
      <c r="FN3" s="112"/>
      <c r="FO3" s="112"/>
      <c r="FP3" s="112"/>
      <c r="FQ3" s="112"/>
      <c r="FR3" s="112"/>
      <c r="FS3" s="112"/>
      <c r="FT3" s="112"/>
      <c r="FU3" s="112"/>
      <c r="FV3" s="112"/>
      <c r="FW3" s="112"/>
      <c r="FX3" s="112"/>
      <c r="FY3" s="112"/>
      <c r="FZ3" s="112"/>
      <c r="GA3" s="112"/>
      <c r="GB3" s="112"/>
      <c r="GC3" s="112"/>
      <c r="GD3" s="112"/>
      <c r="GE3" s="112"/>
      <c r="GF3" s="112"/>
      <c r="GG3" s="112"/>
      <c r="GH3" s="112"/>
      <c r="GI3" s="112"/>
      <c r="GJ3" s="267" t="s">
        <v>85</v>
      </c>
      <c r="GK3" s="275" t="s">
        <v>86</v>
      </c>
      <c r="GL3" s="270" t="s">
        <v>83</v>
      </c>
      <c r="GN3" s="247" t="s">
        <v>219</v>
      </c>
      <c r="GP3" s="247" t="s">
        <v>218</v>
      </c>
    </row>
    <row r="4" spans="1:200" s="26" customFormat="1" ht="29.25" customHeight="1" x14ac:dyDescent="0.2">
      <c r="A4" s="279"/>
      <c r="B4" s="282"/>
      <c r="C4" s="289" t="s">
        <v>10</v>
      </c>
      <c r="D4" s="290"/>
      <c r="E4" s="289" t="s">
        <v>11</v>
      </c>
      <c r="F4" s="290"/>
      <c r="G4" s="292" t="s">
        <v>12</v>
      </c>
      <c r="H4" s="273" t="s">
        <v>13</v>
      </c>
      <c r="I4" s="273" t="s">
        <v>65</v>
      </c>
      <c r="J4" s="299" t="s">
        <v>68</v>
      </c>
      <c r="K4" s="305"/>
      <c r="L4" s="294" t="s">
        <v>81</v>
      </c>
      <c r="M4" s="264" t="s">
        <v>14</v>
      </c>
      <c r="N4" s="265"/>
      <c r="O4" s="265"/>
      <c r="P4" s="265"/>
      <c r="Q4" s="291"/>
      <c r="R4" s="264" t="s">
        <v>15</v>
      </c>
      <c r="S4" s="265"/>
      <c r="T4" s="265"/>
      <c r="U4" s="265"/>
      <c r="V4" s="265"/>
      <c r="W4" s="291"/>
      <c r="X4" s="264" t="s">
        <v>16</v>
      </c>
      <c r="Y4" s="265"/>
      <c r="Z4" s="265"/>
      <c r="AA4" s="265"/>
      <c r="AB4" s="265"/>
      <c r="AC4" s="291"/>
      <c r="AD4" s="264" t="s">
        <v>17</v>
      </c>
      <c r="AE4" s="265"/>
      <c r="AF4" s="265"/>
      <c r="AG4" s="265"/>
      <c r="AH4" s="265"/>
      <c r="AI4" s="291"/>
      <c r="AJ4" s="264" t="s">
        <v>18</v>
      </c>
      <c r="AK4" s="265"/>
      <c r="AL4" s="265"/>
      <c r="AM4" s="265"/>
      <c r="AN4" s="265"/>
      <c r="AO4" s="291"/>
      <c r="AP4" s="264" t="s">
        <v>19</v>
      </c>
      <c r="AQ4" s="265"/>
      <c r="AR4" s="265"/>
      <c r="AS4" s="265"/>
      <c r="AT4" s="265"/>
      <c r="AU4" s="291"/>
      <c r="AV4" s="264" t="s">
        <v>20</v>
      </c>
      <c r="AW4" s="265"/>
      <c r="AX4" s="265"/>
      <c r="AY4" s="265"/>
      <c r="AZ4" s="265"/>
      <c r="BA4" s="291"/>
      <c r="BB4" s="264" t="s">
        <v>21</v>
      </c>
      <c r="BC4" s="265"/>
      <c r="BD4" s="265"/>
      <c r="BE4" s="265"/>
      <c r="BF4" s="265"/>
      <c r="BG4" s="291"/>
      <c r="BH4" s="264" t="s">
        <v>22</v>
      </c>
      <c r="BI4" s="265"/>
      <c r="BJ4" s="265"/>
      <c r="BK4" s="265"/>
      <c r="BL4" s="265"/>
      <c r="BM4" s="291"/>
      <c r="BN4" s="264" t="s">
        <v>23</v>
      </c>
      <c r="BO4" s="265"/>
      <c r="BP4" s="265"/>
      <c r="BQ4" s="265"/>
      <c r="BR4" s="265"/>
      <c r="BS4" s="266"/>
      <c r="BT4" s="264" t="s">
        <v>89</v>
      </c>
      <c r="BU4" s="265"/>
      <c r="BV4" s="265"/>
      <c r="BW4" s="265"/>
      <c r="BX4" s="265"/>
      <c r="BY4" s="266"/>
      <c r="BZ4" s="264" t="s">
        <v>92</v>
      </c>
      <c r="CA4" s="265"/>
      <c r="CB4" s="265"/>
      <c r="CC4" s="265"/>
      <c r="CD4" s="265"/>
      <c r="CE4" s="266"/>
      <c r="CF4" s="264" t="s">
        <v>93</v>
      </c>
      <c r="CG4" s="265"/>
      <c r="CH4" s="265"/>
      <c r="CI4" s="265"/>
      <c r="CJ4" s="265"/>
      <c r="CK4" s="266"/>
      <c r="CL4" s="264" t="s">
        <v>98</v>
      </c>
      <c r="CM4" s="265"/>
      <c r="CN4" s="265"/>
      <c r="CO4" s="265"/>
      <c r="CP4" s="265"/>
      <c r="CQ4" s="266"/>
      <c r="CR4" s="264" t="s">
        <v>101</v>
      </c>
      <c r="CS4" s="265"/>
      <c r="CT4" s="265"/>
      <c r="CU4" s="265"/>
      <c r="CV4" s="265"/>
      <c r="CW4" s="266"/>
      <c r="CX4" s="264" t="s">
        <v>104</v>
      </c>
      <c r="CY4" s="265"/>
      <c r="CZ4" s="265"/>
      <c r="DA4" s="265"/>
      <c r="DB4" s="265"/>
      <c r="DC4" s="266"/>
      <c r="DD4" s="264" t="s">
        <v>107</v>
      </c>
      <c r="DE4" s="265"/>
      <c r="DF4" s="265"/>
      <c r="DG4" s="265"/>
      <c r="DH4" s="265"/>
      <c r="DI4" s="266"/>
      <c r="DJ4" s="264" t="s">
        <v>110</v>
      </c>
      <c r="DK4" s="265"/>
      <c r="DL4" s="265"/>
      <c r="DM4" s="265"/>
      <c r="DN4" s="265"/>
      <c r="DO4" s="266"/>
      <c r="DP4" s="264" t="s">
        <v>113</v>
      </c>
      <c r="DQ4" s="265"/>
      <c r="DR4" s="265"/>
      <c r="DS4" s="265"/>
      <c r="DT4" s="265"/>
      <c r="DU4" s="266"/>
      <c r="DV4" s="264" t="s">
        <v>116</v>
      </c>
      <c r="DW4" s="265"/>
      <c r="DX4" s="265"/>
      <c r="DY4" s="265"/>
      <c r="DZ4" s="265"/>
      <c r="EA4" s="266"/>
      <c r="EB4" s="264" t="s">
        <v>138</v>
      </c>
      <c r="EC4" s="265"/>
      <c r="ED4" s="265"/>
      <c r="EE4" s="265"/>
      <c r="EF4" s="265"/>
      <c r="EG4" s="266"/>
      <c r="EH4" s="264" t="s">
        <v>142</v>
      </c>
      <c r="EI4" s="265"/>
      <c r="EJ4" s="265"/>
      <c r="EK4" s="265"/>
      <c r="EL4" s="265"/>
      <c r="EM4" s="266"/>
      <c r="EN4" s="264" t="s">
        <v>146</v>
      </c>
      <c r="EO4" s="265"/>
      <c r="EP4" s="265"/>
      <c r="EQ4" s="265"/>
      <c r="ER4" s="265"/>
      <c r="ES4" s="266"/>
      <c r="ET4" s="264" t="s">
        <v>150</v>
      </c>
      <c r="EU4" s="265"/>
      <c r="EV4" s="265"/>
      <c r="EW4" s="265"/>
      <c r="EX4" s="265"/>
      <c r="EY4" s="266"/>
      <c r="EZ4" s="264" t="s">
        <v>154</v>
      </c>
      <c r="FA4" s="265"/>
      <c r="FB4" s="265"/>
      <c r="FC4" s="265"/>
      <c r="FD4" s="265"/>
      <c r="FE4" s="266"/>
      <c r="FF4" s="264" t="s">
        <v>158</v>
      </c>
      <c r="FG4" s="265"/>
      <c r="FH4" s="265"/>
      <c r="FI4" s="265"/>
      <c r="FJ4" s="265"/>
      <c r="FK4" s="266"/>
      <c r="FL4" s="264" t="s">
        <v>162</v>
      </c>
      <c r="FM4" s="265"/>
      <c r="FN4" s="265"/>
      <c r="FO4" s="265"/>
      <c r="FP4" s="265"/>
      <c r="FQ4" s="266"/>
      <c r="FR4" s="264" t="s">
        <v>166</v>
      </c>
      <c r="FS4" s="265"/>
      <c r="FT4" s="265"/>
      <c r="FU4" s="265"/>
      <c r="FV4" s="265"/>
      <c r="FW4" s="266"/>
      <c r="FX4" s="264" t="s">
        <v>170</v>
      </c>
      <c r="FY4" s="265"/>
      <c r="FZ4" s="265"/>
      <c r="GA4" s="265"/>
      <c r="GB4" s="265"/>
      <c r="GC4" s="266"/>
      <c r="GD4" s="264" t="s">
        <v>173</v>
      </c>
      <c r="GE4" s="265"/>
      <c r="GF4" s="265"/>
      <c r="GG4" s="265"/>
      <c r="GH4" s="265"/>
      <c r="GI4" s="266"/>
      <c r="GJ4" s="268"/>
      <c r="GK4" s="276"/>
      <c r="GL4" s="271"/>
      <c r="GN4" s="248"/>
      <c r="GP4" s="248"/>
    </row>
    <row r="5" spans="1:200" s="26" customFormat="1" ht="246" customHeight="1" thickBot="1" x14ac:dyDescent="0.25">
      <c r="A5" s="279"/>
      <c r="B5" s="283"/>
      <c r="C5" s="287" t="s">
        <v>71</v>
      </c>
      <c r="D5" s="288"/>
      <c r="E5" s="287" t="s">
        <v>78</v>
      </c>
      <c r="F5" s="288"/>
      <c r="G5" s="293"/>
      <c r="H5" s="274"/>
      <c r="I5" s="274"/>
      <c r="J5" s="300"/>
      <c r="K5" s="306"/>
      <c r="L5" s="295"/>
      <c r="M5" s="65" t="s">
        <v>58</v>
      </c>
      <c r="N5" s="118" t="s">
        <v>128</v>
      </c>
      <c r="O5" s="66" t="s">
        <v>66</v>
      </c>
      <c r="P5" s="66" t="s">
        <v>82</v>
      </c>
      <c r="Q5" s="67" t="s">
        <v>24</v>
      </c>
      <c r="R5" s="65" t="s">
        <v>25</v>
      </c>
      <c r="S5" s="118" t="s">
        <v>129</v>
      </c>
      <c r="T5" s="66" t="s">
        <v>58</v>
      </c>
      <c r="U5" s="66" t="s">
        <v>66</v>
      </c>
      <c r="V5" s="66" t="s">
        <v>82</v>
      </c>
      <c r="W5" s="67" t="s">
        <v>26</v>
      </c>
      <c r="X5" s="65" t="s">
        <v>27</v>
      </c>
      <c r="Y5" s="118" t="s">
        <v>130</v>
      </c>
      <c r="Z5" s="66" t="s">
        <v>58</v>
      </c>
      <c r="AA5" s="66" t="s">
        <v>66</v>
      </c>
      <c r="AB5" s="66" t="s">
        <v>82</v>
      </c>
      <c r="AC5" s="67" t="s">
        <v>28</v>
      </c>
      <c r="AD5" s="65" t="s">
        <v>29</v>
      </c>
      <c r="AE5" s="118" t="s">
        <v>131</v>
      </c>
      <c r="AF5" s="66" t="s">
        <v>58</v>
      </c>
      <c r="AG5" s="66" t="s">
        <v>66</v>
      </c>
      <c r="AH5" s="66" t="s">
        <v>82</v>
      </c>
      <c r="AI5" s="67" t="s">
        <v>30</v>
      </c>
      <c r="AJ5" s="65" t="s">
        <v>31</v>
      </c>
      <c r="AK5" s="118" t="s">
        <v>132</v>
      </c>
      <c r="AL5" s="66" t="s">
        <v>58</v>
      </c>
      <c r="AM5" s="66" t="s">
        <v>66</v>
      </c>
      <c r="AN5" s="66" t="s">
        <v>82</v>
      </c>
      <c r="AO5" s="67" t="s">
        <v>32</v>
      </c>
      <c r="AP5" s="65" t="s">
        <v>33</v>
      </c>
      <c r="AQ5" s="118" t="s">
        <v>133</v>
      </c>
      <c r="AR5" s="66" t="s">
        <v>58</v>
      </c>
      <c r="AS5" s="66" t="s">
        <v>66</v>
      </c>
      <c r="AT5" s="66" t="s">
        <v>82</v>
      </c>
      <c r="AU5" s="67" t="s">
        <v>34</v>
      </c>
      <c r="AV5" s="65" t="s">
        <v>35</v>
      </c>
      <c r="AW5" s="118" t="s">
        <v>134</v>
      </c>
      <c r="AX5" s="66" t="s">
        <v>58</v>
      </c>
      <c r="AY5" s="66" t="s">
        <v>66</v>
      </c>
      <c r="AZ5" s="66" t="s">
        <v>82</v>
      </c>
      <c r="BA5" s="67" t="s">
        <v>36</v>
      </c>
      <c r="BB5" s="65" t="s">
        <v>37</v>
      </c>
      <c r="BC5" s="118" t="s">
        <v>135</v>
      </c>
      <c r="BD5" s="66" t="s">
        <v>58</v>
      </c>
      <c r="BE5" s="66" t="s">
        <v>66</v>
      </c>
      <c r="BF5" s="66" t="s">
        <v>82</v>
      </c>
      <c r="BG5" s="67" t="s">
        <v>38</v>
      </c>
      <c r="BH5" s="65" t="s">
        <v>39</v>
      </c>
      <c r="BI5" s="118" t="s">
        <v>136</v>
      </c>
      <c r="BJ5" s="66" t="s">
        <v>58</v>
      </c>
      <c r="BK5" s="66" t="s">
        <v>66</v>
      </c>
      <c r="BL5" s="66" t="s">
        <v>82</v>
      </c>
      <c r="BM5" s="67" t="s">
        <v>40</v>
      </c>
      <c r="BN5" s="65" t="s">
        <v>41</v>
      </c>
      <c r="BO5" s="118" t="s">
        <v>137</v>
      </c>
      <c r="BP5" s="66" t="s">
        <v>58</v>
      </c>
      <c r="BQ5" s="66" t="s">
        <v>66</v>
      </c>
      <c r="BR5" s="66" t="s">
        <v>82</v>
      </c>
      <c r="BS5" s="81" t="s">
        <v>42</v>
      </c>
      <c r="BT5" s="65" t="s">
        <v>90</v>
      </c>
      <c r="BU5" s="118" t="s">
        <v>119</v>
      </c>
      <c r="BV5" s="116" t="s">
        <v>58</v>
      </c>
      <c r="BW5" s="116" t="s">
        <v>66</v>
      </c>
      <c r="BX5" s="116" t="s">
        <v>82</v>
      </c>
      <c r="BY5" s="117" t="s">
        <v>91</v>
      </c>
      <c r="BZ5" s="65" t="s">
        <v>94</v>
      </c>
      <c r="CA5" s="118" t="s">
        <v>120</v>
      </c>
      <c r="CB5" s="116" t="s">
        <v>58</v>
      </c>
      <c r="CC5" s="116" t="s">
        <v>66</v>
      </c>
      <c r="CD5" s="116" t="s">
        <v>82</v>
      </c>
      <c r="CE5" s="117" t="s">
        <v>95</v>
      </c>
      <c r="CF5" s="65" t="s">
        <v>96</v>
      </c>
      <c r="CG5" s="118" t="s">
        <v>121</v>
      </c>
      <c r="CH5" s="116" t="s">
        <v>58</v>
      </c>
      <c r="CI5" s="116" t="s">
        <v>66</v>
      </c>
      <c r="CJ5" s="116" t="s">
        <v>82</v>
      </c>
      <c r="CK5" s="117" t="s">
        <v>97</v>
      </c>
      <c r="CL5" s="65" t="s">
        <v>99</v>
      </c>
      <c r="CM5" s="118" t="s">
        <v>122</v>
      </c>
      <c r="CN5" s="116" t="s">
        <v>58</v>
      </c>
      <c r="CO5" s="116" t="s">
        <v>66</v>
      </c>
      <c r="CP5" s="116" t="s">
        <v>82</v>
      </c>
      <c r="CQ5" s="117" t="s">
        <v>100</v>
      </c>
      <c r="CR5" s="65" t="s">
        <v>102</v>
      </c>
      <c r="CS5" s="118" t="s">
        <v>123</v>
      </c>
      <c r="CT5" s="116" t="s">
        <v>58</v>
      </c>
      <c r="CU5" s="116" t="s">
        <v>66</v>
      </c>
      <c r="CV5" s="116" t="s">
        <v>82</v>
      </c>
      <c r="CW5" s="117" t="s">
        <v>103</v>
      </c>
      <c r="CX5" s="65" t="s">
        <v>105</v>
      </c>
      <c r="CY5" s="118" t="s">
        <v>124</v>
      </c>
      <c r="CZ5" s="116" t="s">
        <v>58</v>
      </c>
      <c r="DA5" s="116" t="s">
        <v>66</v>
      </c>
      <c r="DB5" s="116" t="s">
        <v>82</v>
      </c>
      <c r="DC5" s="117" t="s">
        <v>106</v>
      </c>
      <c r="DD5" s="65" t="s">
        <v>108</v>
      </c>
      <c r="DE5" s="118" t="s">
        <v>125</v>
      </c>
      <c r="DF5" s="116" t="s">
        <v>58</v>
      </c>
      <c r="DG5" s="116" t="s">
        <v>66</v>
      </c>
      <c r="DH5" s="116" t="s">
        <v>82</v>
      </c>
      <c r="DI5" s="117" t="s">
        <v>109</v>
      </c>
      <c r="DJ5" s="65" t="s">
        <v>111</v>
      </c>
      <c r="DK5" s="116" t="s">
        <v>67</v>
      </c>
      <c r="DL5" s="116" t="s">
        <v>58</v>
      </c>
      <c r="DM5" s="116" t="s">
        <v>66</v>
      </c>
      <c r="DN5" s="116" t="s">
        <v>82</v>
      </c>
      <c r="DO5" s="117" t="s">
        <v>112</v>
      </c>
      <c r="DP5" s="65" t="s">
        <v>114</v>
      </c>
      <c r="DQ5" s="118" t="s">
        <v>126</v>
      </c>
      <c r="DR5" s="116" t="s">
        <v>58</v>
      </c>
      <c r="DS5" s="116" t="s">
        <v>66</v>
      </c>
      <c r="DT5" s="116" t="s">
        <v>82</v>
      </c>
      <c r="DU5" s="117" t="s">
        <v>115</v>
      </c>
      <c r="DV5" s="65" t="s">
        <v>118</v>
      </c>
      <c r="DW5" s="118" t="s">
        <v>127</v>
      </c>
      <c r="DX5" s="116" t="s">
        <v>58</v>
      </c>
      <c r="DY5" s="116" t="s">
        <v>66</v>
      </c>
      <c r="DZ5" s="116" t="s">
        <v>82</v>
      </c>
      <c r="EA5" s="117" t="s">
        <v>117</v>
      </c>
      <c r="EB5" s="65" t="s">
        <v>139</v>
      </c>
      <c r="EC5" s="119" t="s">
        <v>140</v>
      </c>
      <c r="ED5" s="119" t="s">
        <v>58</v>
      </c>
      <c r="EE5" s="119" t="s">
        <v>66</v>
      </c>
      <c r="EF5" s="119" t="s">
        <v>82</v>
      </c>
      <c r="EG5" s="120" t="s">
        <v>141</v>
      </c>
      <c r="EH5" s="65" t="s">
        <v>143</v>
      </c>
      <c r="EI5" s="119" t="s">
        <v>144</v>
      </c>
      <c r="EJ5" s="119" t="s">
        <v>58</v>
      </c>
      <c r="EK5" s="119" t="s">
        <v>66</v>
      </c>
      <c r="EL5" s="119" t="s">
        <v>82</v>
      </c>
      <c r="EM5" s="120" t="s">
        <v>145</v>
      </c>
      <c r="EN5" s="65" t="s">
        <v>147</v>
      </c>
      <c r="EO5" s="119" t="s">
        <v>148</v>
      </c>
      <c r="EP5" s="119" t="s">
        <v>58</v>
      </c>
      <c r="EQ5" s="119" t="s">
        <v>66</v>
      </c>
      <c r="ER5" s="119" t="s">
        <v>82</v>
      </c>
      <c r="ES5" s="120" t="s">
        <v>149</v>
      </c>
      <c r="ET5" s="65" t="s">
        <v>151</v>
      </c>
      <c r="EU5" s="119" t="s">
        <v>152</v>
      </c>
      <c r="EV5" s="119" t="s">
        <v>58</v>
      </c>
      <c r="EW5" s="119" t="s">
        <v>66</v>
      </c>
      <c r="EX5" s="119" t="s">
        <v>82</v>
      </c>
      <c r="EY5" s="120" t="s">
        <v>153</v>
      </c>
      <c r="EZ5" s="65" t="s">
        <v>155</v>
      </c>
      <c r="FA5" s="119" t="s">
        <v>156</v>
      </c>
      <c r="FB5" s="119" t="s">
        <v>58</v>
      </c>
      <c r="FC5" s="119" t="s">
        <v>66</v>
      </c>
      <c r="FD5" s="119" t="s">
        <v>82</v>
      </c>
      <c r="FE5" s="120" t="s">
        <v>157</v>
      </c>
      <c r="FF5" s="65" t="s">
        <v>159</v>
      </c>
      <c r="FG5" s="119" t="s">
        <v>160</v>
      </c>
      <c r="FH5" s="119" t="s">
        <v>58</v>
      </c>
      <c r="FI5" s="119" t="s">
        <v>66</v>
      </c>
      <c r="FJ5" s="119" t="s">
        <v>82</v>
      </c>
      <c r="FK5" s="120" t="s">
        <v>161</v>
      </c>
      <c r="FL5" s="65" t="s">
        <v>163</v>
      </c>
      <c r="FM5" s="119" t="s">
        <v>164</v>
      </c>
      <c r="FN5" s="119" t="s">
        <v>58</v>
      </c>
      <c r="FO5" s="119" t="s">
        <v>66</v>
      </c>
      <c r="FP5" s="119" t="s">
        <v>82</v>
      </c>
      <c r="FQ5" s="120" t="s">
        <v>165</v>
      </c>
      <c r="FR5" s="65" t="s">
        <v>167</v>
      </c>
      <c r="FS5" s="119" t="s">
        <v>168</v>
      </c>
      <c r="FT5" s="119" t="s">
        <v>58</v>
      </c>
      <c r="FU5" s="119" t="s">
        <v>66</v>
      </c>
      <c r="FV5" s="119" t="s">
        <v>82</v>
      </c>
      <c r="FW5" s="120" t="s">
        <v>169</v>
      </c>
      <c r="FX5" s="65" t="s">
        <v>171</v>
      </c>
      <c r="FY5" s="119" t="s">
        <v>175</v>
      </c>
      <c r="FZ5" s="119" t="s">
        <v>58</v>
      </c>
      <c r="GA5" s="119" t="s">
        <v>66</v>
      </c>
      <c r="GB5" s="119" t="s">
        <v>82</v>
      </c>
      <c r="GC5" s="120" t="s">
        <v>172</v>
      </c>
      <c r="GD5" s="65" t="s">
        <v>174</v>
      </c>
      <c r="GE5" s="119" t="s">
        <v>176</v>
      </c>
      <c r="GF5" s="119" t="s">
        <v>58</v>
      </c>
      <c r="GG5" s="119" t="s">
        <v>66</v>
      </c>
      <c r="GH5" s="119" t="s">
        <v>82</v>
      </c>
      <c r="GI5" s="120" t="s">
        <v>177</v>
      </c>
      <c r="GJ5" s="269"/>
      <c r="GK5" s="277"/>
      <c r="GL5" s="272"/>
      <c r="GN5" s="248"/>
      <c r="GP5" s="248"/>
    </row>
    <row r="6" spans="1:200" s="26" customFormat="1" ht="19.5" thickBot="1" x14ac:dyDescent="0.25">
      <c r="A6" s="280"/>
      <c r="B6" s="92" t="s">
        <v>43</v>
      </c>
      <c r="C6" s="70" t="s">
        <v>44</v>
      </c>
      <c r="D6" s="71" t="s">
        <v>45</v>
      </c>
      <c r="E6" s="70" t="s">
        <v>46</v>
      </c>
      <c r="F6" s="71" t="s">
        <v>47</v>
      </c>
      <c r="G6" s="64" t="s">
        <v>1</v>
      </c>
      <c r="H6" s="63" t="s">
        <v>2</v>
      </c>
      <c r="I6" s="53" t="s">
        <v>74</v>
      </c>
      <c r="J6" s="99" t="s">
        <v>70</v>
      </c>
      <c r="K6" s="104" t="s">
        <v>48</v>
      </c>
      <c r="L6" s="69" t="s">
        <v>49</v>
      </c>
      <c r="M6" s="70" t="s">
        <v>48</v>
      </c>
      <c r="N6" s="63" t="s">
        <v>56</v>
      </c>
      <c r="O6" s="63" t="s">
        <v>55</v>
      </c>
      <c r="P6" s="63" t="s">
        <v>54</v>
      </c>
      <c r="Q6" s="71" t="s">
        <v>53</v>
      </c>
      <c r="R6" s="70" t="s">
        <v>47</v>
      </c>
      <c r="S6" s="63" t="s">
        <v>56</v>
      </c>
      <c r="T6" s="63" t="s">
        <v>48</v>
      </c>
      <c r="U6" s="63" t="s">
        <v>55</v>
      </c>
      <c r="V6" s="63" t="s">
        <v>54</v>
      </c>
      <c r="W6" s="71" t="s">
        <v>53</v>
      </c>
      <c r="X6" s="70" t="s">
        <v>47</v>
      </c>
      <c r="Y6" s="63" t="s">
        <v>56</v>
      </c>
      <c r="Z6" s="63" t="s">
        <v>48</v>
      </c>
      <c r="AA6" s="63" t="s">
        <v>55</v>
      </c>
      <c r="AB6" s="63" t="s">
        <v>54</v>
      </c>
      <c r="AC6" s="71" t="s">
        <v>53</v>
      </c>
      <c r="AD6" s="70" t="s">
        <v>47</v>
      </c>
      <c r="AE6" s="63" t="s">
        <v>56</v>
      </c>
      <c r="AF6" s="63" t="s">
        <v>48</v>
      </c>
      <c r="AG6" s="63" t="s">
        <v>55</v>
      </c>
      <c r="AH6" s="63" t="s">
        <v>54</v>
      </c>
      <c r="AI6" s="71" t="s">
        <v>53</v>
      </c>
      <c r="AJ6" s="70" t="s">
        <v>47</v>
      </c>
      <c r="AK6" s="63" t="s">
        <v>56</v>
      </c>
      <c r="AL6" s="63" t="s">
        <v>48</v>
      </c>
      <c r="AM6" s="63" t="s">
        <v>55</v>
      </c>
      <c r="AN6" s="63" t="s">
        <v>54</v>
      </c>
      <c r="AO6" s="71" t="s">
        <v>53</v>
      </c>
      <c r="AP6" s="70" t="s">
        <v>47</v>
      </c>
      <c r="AQ6" s="63" t="s">
        <v>56</v>
      </c>
      <c r="AR6" s="63" t="s">
        <v>48</v>
      </c>
      <c r="AS6" s="63" t="s">
        <v>55</v>
      </c>
      <c r="AT6" s="63" t="s">
        <v>54</v>
      </c>
      <c r="AU6" s="71" t="s">
        <v>53</v>
      </c>
      <c r="AV6" s="70" t="s">
        <v>47</v>
      </c>
      <c r="AW6" s="63" t="s">
        <v>56</v>
      </c>
      <c r="AX6" s="63" t="s">
        <v>48</v>
      </c>
      <c r="AY6" s="63" t="s">
        <v>55</v>
      </c>
      <c r="AZ6" s="63" t="s">
        <v>54</v>
      </c>
      <c r="BA6" s="71" t="s">
        <v>53</v>
      </c>
      <c r="BB6" s="70" t="s">
        <v>47</v>
      </c>
      <c r="BC6" s="63" t="s">
        <v>56</v>
      </c>
      <c r="BD6" s="63" t="s">
        <v>48</v>
      </c>
      <c r="BE6" s="63" t="s">
        <v>55</v>
      </c>
      <c r="BF6" s="63" t="s">
        <v>54</v>
      </c>
      <c r="BG6" s="71" t="s">
        <v>53</v>
      </c>
      <c r="BH6" s="70" t="s">
        <v>47</v>
      </c>
      <c r="BI6" s="63" t="s">
        <v>56</v>
      </c>
      <c r="BJ6" s="63" t="s">
        <v>48</v>
      </c>
      <c r="BK6" s="63" t="s">
        <v>55</v>
      </c>
      <c r="BL6" s="63" t="s">
        <v>54</v>
      </c>
      <c r="BM6" s="71" t="s">
        <v>53</v>
      </c>
      <c r="BN6" s="70" t="s">
        <v>47</v>
      </c>
      <c r="BO6" s="63" t="s">
        <v>56</v>
      </c>
      <c r="BP6" s="63" t="s">
        <v>48</v>
      </c>
      <c r="BQ6" s="63" t="s">
        <v>55</v>
      </c>
      <c r="BR6" s="63" t="s">
        <v>54</v>
      </c>
      <c r="BS6" s="99" t="s">
        <v>53</v>
      </c>
      <c r="BT6" s="70" t="s">
        <v>47</v>
      </c>
      <c r="BU6" s="63" t="s">
        <v>56</v>
      </c>
      <c r="BV6" s="63" t="s">
        <v>48</v>
      </c>
      <c r="BW6" s="63" t="s">
        <v>88</v>
      </c>
      <c r="BX6" s="63" t="s">
        <v>54</v>
      </c>
      <c r="BY6" s="99" t="s">
        <v>53</v>
      </c>
      <c r="BZ6" s="70" t="s">
        <v>47</v>
      </c>
      <c r="CA6" s="63" t="s">
        <v>56</v>
      </c>
      <c r="CB6" s="63" t="s">
        <v>48</v>
      </c>
      <c r="CC6" s="63" t="s">
        <v>88</v>
      </c>
      <c r="CD6" s="63" t="s">
        <v>54</v>
      </c>
      <c r="CE6" s="99" t="s">
        <v>53</v>
      </c>
      <c r="CF6" s="70" t="s">
        <v>47</v>
      </c>
      <c r="CG6" s="63" t="s">
        <v>56</v>
      </c>
      <c r="CH6" s="63" t="s">
        <v>48</v>
      </c>
      <c r="CI6" s="63" t="s">
        <v>88</v>
      </c>
      <c r="CJ6" s="63" t="s">
        <v>54</v>
      </c>
      <c r="CK6" s="99" t="s">
        <v>53</v>
      </c>
      <c r="CL6" s="70" t="s">
        <v>47</v>
      </c>
      <c r="CM6" s="63" t="s">
        <v>56</v>
      </c>
      <c r="CN6" s="63" t="s">
        <v>48</v>
      </c>
      <c r="CO6" s="63" t="s">
        <v>88</v>
      </c>
      <c r="CP6" s="63" t="s">
        <v>54</v>
      </c>
      <c r="CQ6" s="99" t="s">
        <v>53</v>
      </c>
      <c r="CR6" s="70" t="s">
        <v>47</v>
      </c>
      <c r="CS6" s="63" t="s">
        <v>56</v>
      </c>
      <c r="CT6" s="63" t="s">
        <v>48</v>
      </c>
      <c r="CU6" s="63" t="s">
        <v>88</v>
      </c>
      <c r="CV6" s="63" t="s">
        <v>54</v>
      </c>
      <c r="CW6" s="99" t="s">
        <v>53</v>
      </c>
      <c r="CX6" s="70" t="s">
        <v>47</v>
      </c>
      <c r="CY6" s="63" t="s">
        <v>56</v>
      </c>
      <c r="CZ6" s="63" t="s">
        <v>48</v>
      </c>
      <c r="DA6" s="63" t="s">
        <v>88</v>
      </c>
      <c r="DB6" s="63" t="s">
        <v>54</v>
      </c>
      <c r="DC6" s="99" t="s">
        <v>53</v>
      </c>
      <c r="DD6" s="70" t="s">
        <v>47</v>
      </c>
      <c r="DE6" s="63" t="s">
        <v>56</v>
      </c>
      <c r="DF6" s="63" t="s">
        <v>48</v>
      </c>
      <c r="DG6" s="63" t="s">
        <v>88</v>
      </c>
      <c r="DH6" s="63" t="s">
        <v>54</v>
      </c>
      <c r="DI6" s="99" t="s">
        <v>53</v>
      </c>
      <c r="DJ6" s="70" t="s">
        <v>47</v>
      </c>
      <c r="DK6" s="63" t="s">
        <v>56</v>
      </c>
      <c r="DL6" s="63" t="s">
        <v>48</v>
      </c>
      <c r="DM6" s="63" t="s">
        <v>88</v>
      </c>
      <c r="DN6" s="63" t="s">
        <v>54</v>
      </c>
      <c r="DO6" s="99" t="s">
        <v>53</v>
      </c>
      <c r="DP6" s="70" t="s">
        <v>47</v>
      </c>
      <c r="DQ6" s="63" t="s">
        <v>56</v>
      </c>
      <c r="DR6" s="63" t="s">
        <v>48</v>
      </c>
      <c r="DS6" s="63" t="s">
        <v>88</v>
      </c>
      <c r="DT6" s="63" t="s">
        <v>54</v>
      </c>
      <c r="DU6" s="99" t="s">
        <v>53</v>
      </c>
      <c r="DV6" s="70" t="s">
        <v>47</v>
      </c>
      <c r="DW6" s="63" t="s">
        <v>56</v>
      </c>
      <c r="DX6" s="63" t="s">
        <v>48</v>
      </c>
      <c r="DY6" s="63" t="s">
        <v>88</v>
      </c>
      <c r="DZ6" s="63" t="s">
        <v>54</v>
      </c>
      <c r="EA6" s="99" t="s">
        <v>53</v>
      </c>
      <c r="EB6" s="70" t="s">
        <v>47</v>
      </c>
      <c r="EC6" s="63" t="s">
        <v>56</v>
      </c>
      <c r="ED6" s="63" t="s">
        <v>48</v>
      </c>
      <c r="EE6" s="63" t="s">
        <v>88</v>
      </c>
      <c r="EF6" s="63" t="s">
        <v>54</v>
      </c>
      <c r="EG6" s="99" t="s">
        <v>53</v>
      </c>
      <c r="EH6" s="70" t="s">
        <v>47</v>
      </c>
      <c r="EI6" s="63" t="s">
        <v>56</v>
      </c>
      <c r="EJ6" s="63" t="s">
        <v>48</v>
      </c>
      <c r="EK6" s="63" t="s">
        <v>88</v>
      </c>
      <c r="EL6" s="63" t="s">
        <v>54</v>
      </c>
      <c r="EM6" s="99" t="s">
        <v>53</v>
      </c>
      <c r="EN6" s="70" t="s">
        <v>47</v>
      </c>
      <c r="EO6" s="63" t="s">
        <v>56</v>
      </c>
      <c r="EP6" s="63" t="s">
        <v>48</v>
      </c>
      <c r="EQ6" s="63" t="s">
        <v>88</v>
      </c>
      <c r="ER6" s="63" t="s">
        <v>54</v>
      </c>
      <c r="ES6" s="99" t="s">
        <v>53</v>
      </c>
      <c r="ET6" s="70" t="s">
        <v>47</v>
      </c>
      <c r="EU6" s="63" t="s">
        <v>56</v>
      </c>
      <c r="EV6" s="63" t="s">
        <v>48</v>
      </c>
      <c r="EW6" s="63" t="s">
        <v>88</v>
      </c>
      <c r="EX6" s="63" t="s">
        <v>54</v>
      </c>
      <c r="EY6" s="99" t="s">
        <v>53</v>
      </c>
      <c r="EZ6" s="70" t="s">
        <v>47</v>
      </c>
      <c r="FA6" s="63" t="s">
        <v>56</v>
      </c>
      <c r="FB6" s="63" t="s">
        <v>48</v>
      </c>
      <c r="FC6" s="63" t="s">
        <v>88</v>
      </c>
      <c r="FD6" s="63" t="s">
        <v>54</v>
      </c>
      <c r="FE6" s="99" t="s">
        <v>53</v>
      </c>
      <c r="FF6" s="70" t="s">
        <v>47</v>
      </c>
      <c r="FG6" s="63" t="s">
        <v>56</v>
      </c>
      <c r="FH6" s="63" t="s">
        <v>48</v>
      </c>
      <c r="FI6" s="63" t="s">
        <v>88</v>
      </c>
      <c r="FJ6" s="63" t="s">
        <v>54</v>
      </c>
      <c r="FK6" s="99" t="s">
        <v>53</v>
      </c>
      <c r="FL6" s="70" t="s">
        <v>47</v>
      </c>
      <c r="FM6" s="63" t="s">
        <v>56</v>
      </c>
      <c r="FN6" s="63" t="s">
        <v>48</v>
      </c>
      <c r="FO6" s="63" t="s">
        <v>88</v>
      </c>
      <c r="FP6" s="63" t="s">
        <v>54</v>
      </c>
      <c r="FQ6" s="99" t="s">
        <v>53</v>
      </c>
      <c r="FR6" s="70" t="s">
        <v>47</v>
      </c>
      <c r="FS6" s="63" t="s">
        <v>56</v>
      </c>
      <c r="FT6" s="63" t="s">
        <v>48</v>
      </c>
      <c r="FU6" s="63" t="s">
        <v>88</v>
      </c>
      <c r="FV6" s="63" t="s">
        <v>54</v>
      </c>
      <c r="FW6" s="99" t="s">
        <v>53</v>
      </c>
      <c r="FX6" s="70" t="s">
        <v>47</v>
      </c>
      <c r="FY6" s="63" t="s">
        <v>56</v>
      </c>
      <c r="FZ6" s="63" t="s">
        <v>48</v>
      </c>
      <c r="GA6" s="63" t="s">
        <v>88</v>
      </c>
      <c r="GB6" s="63" t="s">
        <v>54</v>
      </c>
      <c r="GC6" s="99" t="s">
        <v>53</v>
      </c>
      <c r="GD6" s="70" t="s">
        <v>47</v>
      </c>
      <c r="GE6" s="63" t="s">
        <v>56</v>
      </c>
      <c r="GF6" s="63" t="s">
        <v>48</v>
      </c>
      <c r="GG6" s="63" t="s">
        <v>88</v>
      </c>
      <c r="GH6" s="63" t="s">
        <v>54</v>
      </c>
      <c r="GI6" s="99" t="s">
        <v>53</v>
      </c>
      <c r="GJ6" s="155" t="s">
        <v>53</v>
      </c>
      <c r="GK6" s="153" t="s">
        <v>61</v>
      </c>
      <c r="GL6" s="190" t="s">
        <v>79</v>
      </c>
      <c r="GN6" s="198"/>
      <c r="GP6" s="198"/>
    </row>
    <row r="7" spans="1:200" s="27" customFormat="1" thickBot="1" x14ac:dyDescent="0.25">
      <c r="A7" s="89">
        <v>1</v>
      </c>
      <c r="B7" s="93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88">
        <f>F7+1</f>
        <v>7</v>
      </c>
      <c r="H7" s="60">
        <f t="shared" si="0"/>
        <v>8</v>
      </c>
      <c r="I7" s="60">
        <f>H7+1</f>
        <v>9</v>
      </c>
      <c r="J7" s="100">
        <f>I7+1</f>
        <v>10</v>
      </c>
      <c r="K7" s="105">
        <f>J7+1</f>
        <v>11</v>
      </c>
      <c r="L7" s="61">
        <f>K7+1</f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1">Z7+1</f>
        <v>27</v>
      </c>
      <c r="AB7" s="60">
        <f t="shared" si="1"/>
        <v>28</v>
      </c>
      <c r="AC7" s="62">
        <f t="shared" si="1"/>
        <v>29</v>
      </c>
      <c r="AD7" s="59">
        <f t="shared" si="1"/>
        <v>30</v>
      </c>
      <c r="AE7" s="60">
        <f t="shared" si="1"/>
        <v>31</v>
      </c>
      <c r="AF7" s="60">
        <f>AE7+1</f>
        <v>32</v>
      </c>
      <c r="AG7" s="60">
        <f t="shared" si="1"/>
        <v>33</v>
      </c>
      <c r="AH7" s="60">
        <f t="shared" si="1"/>
        <v>34</v>
      </c>
      <c r="AI7" s="62">
        <f t="shared" si="1"/>
        <v>35</v>
      </c>
      <c r="AJ7" s="59">
        <f t="shared" si="1"/>
        <v>36</v>
      </c>
      <c r="AK7" s="60">
        <f t="shared" si="1"/>
        <v>37</v>
      </c>
      <c r="AL7" s="60">
        <f>AK7+1</f>
        <v>38</v>
      </c>
      <c r="AM7" s="60">
        <f t="shared" si="1"/>
        <v>39</v>
      </c>
      <c r="AN7" s="60">
        <f t="shared" si="1"/>
        <v>40</v>
      </c>
      <c r="AO7" s="62">
        <f t="shared" si="1"/>
        <v>41</v>
      </c>
      <c r="AP7" s="59">
        <f t="shared" si="1"/>
        <v>42</v>
      </c>
      <c r="AQ7" s="60">
        <f t="shared" si="1"/>
        <v>43</v>
      </c>
      <c r="AR7" s="60">
        <f>AQ7+1</f>
        <v>44</v>
      </c>
      <c r="AS7" s="60">
        <f t="shared" si="1"/>
        <v>45</v>
      </c>
      <c r="AT7" s="60">
        <f t="shared" si="1"/>
        <v>46</v>
      </c>
      <c r="AU7" s="62">
        <f t="shared" si="1"/>
        <v>47</v>
      </c>
      <c r="AV7" s="59">
        <f t="shared" si="1"/>
        <v>48</v>
      </c>
      <c r="AW7" s="60">
        <f t="shared" si="1"/>
        <v>49</v>
      </c>
      <c r="AX7" s="60">
        <f>AW7+1</f>
        <v>50</v>
      </c>
      <c r="AY7" s="60">
        <f t="shared" si="1"/>
        <v>51</v>
      </c>
      <c r="AZ7" s="60">
        <f t="shared" si="1"/>
        <v>52</v>
      </c>
      <c r="BA7" s="62">
        <f t="shared" ref="BA7:BS7" si="2">AZ7+1</f>
        <v>53</v>
      </c>
      <c r="BB7" s="59">
        <f t="shared" si="2"/>
        <v>54</v>
      </c>
      <c r="BC7" s="60">
        <f t="shared" si="2"/>
        <v>55</v>
      </c>
      <c r="BD7" s="60">
        <f>BC7+1</f>
        <v>56</v>
      </c>
      <c r="BE7" s="60">
        <f t="shared" si="2"/>
        <v>57</v>
      </c>
      <c r="BF7" s="60">
        <f t="shared" si="2"/>
        <v>58</v>
      </c>
      <c r="BG7" s="62">
        <f t="shared" si="2"/>
        <v>59</v>
      </c>
      <c r="BH7" s="59">
        <f t="shared" si="2"/>
        <v>60</v>
      </c>
      <c r="BI7" s="60">
        <f t="shared" si="2"/>
        <v>61</v>
      </c>
      <c r="BJ7" s="60">
        <f>BI7+1</f>
        <v>62</v>
      </c>
      <c r="BK7" s="60">
        <f t="shared" si="2"/>
        <v>63</v>
      </c>
      <c r="BL7" s="60">
        <f t="shared" si="2"/>
        <v>64</v>
      </c>
      <c r="BM7" s="62">
        <f t="shared" si="2"/>
        <v>65</v>
      </c>
      <c r="BN7" s="59">
        <f t="shared" si="2"/>
        <v>66</v>
      </c>
      <c r="BO7" s="60">
        <f t="shared" si="2"/>
        <v>67</v>
      </c>
      <c r="BP7" s="60">
        <f>BO7+1</f>
        <v>68</v>
      </c>
      <c r="BQ7" s="60">
        <f t="shared" si="2"/>
        <v>69</v>
      </c>
      <c r="BR7" s="60">
        <f t="shared" si="2"/>
        <v>70</v>
      </c>
      <c r="BS7" s="100">
        <f t="shared" si="2"/>
        <v>71</v>
      </c>
      <c r="BT7" s="59">
        <f t="shared" ref="BT7:CY7" si="3">BS7+1</f>
        <v>72</v>
      </c>
      <c r="BU7" s="60">
        <f t="shared" si="3"/>
        <v>73</v>
      </c>
      <c r="BV7" s="60">
        <f t="shared" si="3"/>
        <v>74</v>
      </c>
      <c r="BW7" s="60">
        <f t="shared" si="3"/>
        <v>75</v>
      </c>
      <c r="BX7" s="60">
        <f t="shared" si="3"/>
        <v>76</v>
      </c>
      <c r="BY7" s="100">
        <f t="shared" si="3"/>
        <v>77</v>
      </c>
      <c r="BZ7" s="59">
        <f t="shared" si="3"/>
        <v>78</v>
      </c>
      <c r="CA7" s="60">
        <f t="shared" si="3"/>
        <v>79</v>
      </c>
      <c r="CB7" s="60">
        <f t="shared" si="3"/>
        <v>80</v>
      </c>
      <c r="CC7" s="60">
        <f t="shared" si="3"/>
        <v>81</v>
      </c>
      <c r="CD7" s="60">
        <f t="shared" si="3"/>
        <v>82</v>
      </c>
      <c r="CE7" s="100">
        <f t="shared" si="3"/>
        <v>83</v>
      </c>
      <c r="CF7" s="59">
        <f t="shared" si="3"/>
        <v>84</v>
      </c>
      <c r="CG7" s="60">
        <f t="shared" si="3"/>
        <v>85</v>
      </c>
      <c r="CH7" s="60">
        <f t="shared" si="3"/>
        <v>86</v>
      </c>
      <c r="CI7" s="60">
        <f t="shared" si="3"/>
        <v>87</v>
      </c>
      <c r="CJ7" s="60">
        <f t="shared" si="3"/>
        <v>88</v>
      </c>
      <c r="CK7" s="100">
        <f t="shared" si="3"/>
        <v>89</v>
      </c>
      <c r="CL7" s="59">
        <f t="shared" si="3"/>
        <v>90</v>
      </c>
      <c r="CM7" s="60">
        <f t="shared" si="3"/>
        <v>91</v>
      </c>
      <c r="CN7" s="60">
        <f t="shared" si="3"/>
        <v>92</v>
      </c>
      <c r="CO7" s="60">
        <f t="shared" si="3"/>
        <v>93</v>
      </c>
      <c r="CP7" s="60">
        <f t="shared" si="3"/>
        <v>94</v>
      </c>
      <c r="CQ7" s="100">
        <f t="shared" si="3"/>
        <v>95</v>
      </c>
      <c r="CR7" s="59">
        <f t="shared" si="3"/>
        <v>96</v>
      </c>
      <c r="CS7" s="60">
        <f t="shared" si="3"/>
        <v>97</v>
      </c>
      <c r="CT7" s="60">
        <f t="shared" si="3"/>
        <v>98</v>
      </c>
      <c r="CU7" s="60">
        <f t="shared" si="3"/>
        <v>99</v>
      </c>
      <c r="CV7" s="60">
        <f t="shared" si="3"/>
        <v>100</v>
      </c>
      <c r="CW7" s="100">
        <f t="shared" si="3"/>
        <v>101</v>
      </c>
      <c r="CX7" s="59">
        <f t="shared" si="3"/>
        <v>102</v>
      </c>
      <c r="CY7" s="60">
        <f t="shared" si="3"/>
        <v>103</v>
      </c>
      <c r="CZ7" s="60">
        <f t="shared" ref="CZ7:EE7" si="4">CY7+1</f>
        <v>104</v>
      </c>
      <c r="DA7" s="60">
        <f t="shared" si="4"/>
        <v>105</v>
      </c>
      <c r="DB7" s="60">
        <f t="shared" si="4"/>
        <v>106</v>
      </c>
      <c r="DC7" s="100">
        <f t="shared" si="4"/>
        <v>107</v>
      </c>
      <c r="DD7" s="59">
        <f t="shared" si="4"/>
        <v>108</v>
      </c>
      <c r="DE7" s="60">
        <f t="shared" si="4"/>
        <v>109</v>
      </c>
      <c r="DF7" s="60">
        <f t="shared" si="4"/>
        <v>110</v>
      </c>
      <c r="DG7" s="60">
        <f t="shared" si="4"/>
        <v>111</v>
      </c>
      <c r="DH7" s="60">
        <f t="shared" si="4"/>
        <v>112</v>
      </c>
      <c r="DI7" s="100">
        <f t="shared" si="4"/>
        <v>113</v>
      </c>
      <c r="DJ7" s="59">
        <f t="shared" si="4"/>
        <v>114</v>
      </c>
      <c r="DK7" s="60">
        <f t="shared" si="4"/>
        <v>115</v>
      </c>
      <c r="DL7" s="60">
        <f t="shared" si="4"/>
        <v>116</v>
      </c>
      <c r="DM7" s="60">
        <f t="shared" si="4"/>
        <v>117</v>
      </c>
      <c r="DN7" s="60">
        <f t="shared" si="4"/>
        <v>118</v>
      </c>
      <c r="DO7" s="100">
        <f t="shared" si="4"/>
        <v>119</v>
      </c>
      <c r="DP7" s="59">
        <f t="shared" si="4"/>
        <v>120</v>
      </c>
      <c r="DQ7" s="60">
        <f t="shared" si="4"/>
        <v>121</v>
      </c>
      <c r="DR7" s="60">
        <f t="shared" si="4"/>
        <v>122</v>
      </c>
      <c r="DS7" s="60">
        <f t="shared" si="4"/>
        <v>123</v>
      </c>
      <c r="DT7" s="60">
        <f t="shared" si="4"/>
        <v>124</v>
      </c>
      <c r="DU7" s="100">
        <f t="shared" si="4"/>
        <v>125</v>
      </c>
      <c r="DV7" s="59">
        <f t="shared" si="4"/>
        <v>126</v>
      </c>
      <c r="DW7" s="60">
        <f t="shared" si="4"/>
        <v>127</v>
      </c>
      <c r="DX7" s="60">
        <f t="shared" si="4"/>
        <v>128</v>
      </c>
      <c r="DY7" s="60">
        <f t="shared" si="4"/>
        <v>129</v>
      </c>
      <c r="DZ7" s="60">
        <f t="shared" si="4"/>
        <v>130</v>
      </c>
      <c r="EA7" s="100">
        <f t="shared" si="4"/>
        <v>131</v>
      </c>
      <c r="EB7" s="59">
        <f t="shared" si="4"/>
        <v>132</v>
      </c>
      <c r="EC7" s="60">
        <f t="shared" si="4"/>
        <v>133</v>
      </c>
      <c r="ED7" s="60">
        <f t="shared" si="4"/>
        <v>134</v>
      </c>
      <c r="EE7" s="60">
        <f t="shared" si="4"/>
        <v>135</v>
      </c>
      <c r="EF7" s="60">
        <f t="shared" ref="EF7:FK7" si="5">EE7+1</f>
        <v>136</v>
      </c>
      <c r="EG7" s="100">
        <f t="shared" si="5"/>
        <v>137</v>
      </c>
      <c r="EH7" s="59">
        <f t="shared" si="5"/>
        <v>138</v>
      </c>
      <c r="EI7" s="60">
        <f t="shared" si="5"/>
        <v>139</v>
      </c>
      <c r="EJ7" s="60">
        <f t="shared" si="5"/>
        <v>140</v>
      </c>
      <c r="EK7" s="60">
        <f t="shared" si="5"/>
        <v>141</v>
      </c>
      <c r="EL7" s="60">
        <f t="shared" si="5"/>
        <v>142</v>
      </c>
      <c r="EM7" s="100">
        <f t="shared" si="5"/>
        <v>143</v>
      </c>
      <c r="EN7" s="59">
        <f t="shared" si="5"/>
        <v>144</v>
      </c>
      <c r="EO7" s="60">
        <f t="shared" si="5"/>
        <v>145</v>
      </c>
      <c r="EP7" s="60">
        <f t="shared" si="5"/>
        <v>146</v>
      </c>
      <c r="EQ7" s="60">
        <f t="shared" si="5"/>
        <v>147</v>
      </c>
      <c r="ER7" s="60">
        <f t="shared" si="5"/>
        <v>148</v>
      </c>
      <c r="ES7" s="100">
        <f t="shared" si="5"/>
        <v>149</v>
      </c>
      <c r="ET7" s="59">
        <f t="shared" si="5"/>
        <v>150</v>
      </c>
      <c r="EU7" s="60">
        <f t="shared" si="5"/>
        <v>151</v>
      </c>
      <c r="EV7" s="60">
        <f t="shared" si="5"/>
        <v>152</v>
      </c>
      <c r="EW7" s="60">
        <f t="shared" si="5"/>
        <v>153</v>
      </c>
      <c r="EX7" s="60">
        <f t="shared" si="5"/>
        <v>154</v>
      </c>
      <c r="EY7" s="100">
        <f t="shared" si="5"/>
        <v>155</v>
      </c>
      <c r="EZ7" s="59">
        <f t="shared" si="5"/>
        <v>156</v>
      </c>
      <c r="FA7" s="60">
        <f t="shared" si="5"/>
        <v>157</v>
      </c>
      <c r="FB7" s="60">
        <f t="shared" si="5"/>
        <v>158</v>
      </c>
      <c r="FC7" s="60">
        <f t="shared" si="5"/>
        <v>159</v>
      </c>
      <c r="FD7" s="60">
        <f t="shared" si="5"/>
        <v>160</v>
      </c>
      <c r="FE7" s="100">
        <f t="shared" si="5"/>
        <v>161</v>
      </c>
      <c r="FF7" s="59">
        <f t="shared" si="5"/>
        <v>162</v>
      </c>
      <c r="FG7" s="60">
        <f t="shared" si="5"/>
        <v>163</v>
      </c>
      <c r="FH7" s="60">
        <f t="shared" si="5"/>
        <v>164</v>
      </c>
      <c r="FI7" s="60">
        <f t="shared" si="5"/>
        <v>165</v>
      </c>
      <c r="FJ7" s="60">
        <f t="shared" si="5"/>
        <v>166</v>
      </c>
      <c r="FK7" s="100">
        <f t="shared" si="5"/>
        <v>167</v>
      </c>
      <c r="FL7" s="59">
        <f t="shared" ref="FL7:GL7" si="6">FK7+1</f>
        <v>168</v>
      </c>
      <c r="FM7" s="60">
        <f t="shared" si="6"/>
        <v>169</v>
      </c>
      <c r="FN7" s="60">
        <f t="shared" si="6"/>
        <v>170</v>
      </c>
      <c r="FO7" s="60">
        <f t="shared" si="6"/>
        <v>171</v>
      </c>
      <c r="FP7" s="60">
        <f t="shared" si="6"/>
        <v>172</v>
      </c>
      <c r="FQ7" s="100">
        <f t="shared" si="6"/>
        <v>173</v>
      </c>
      <c r="FR7" s="59">
        <f t="shared" si="6"/>
        <v>174</v>
      </c>
      <c r="FS7" s="60">
        <f t="shared" si="6"/>
        <v>175</v>
      </c>
      <c r="FT7" s="60">
        <f t="shared" si="6"/>
        <v>176</v>
      </c>
      <c r="FU7" s="60">
        <f t="shared" si="6"/>
        <v>177</v>
      </c>
      <c r="FV7" s="60">
        <f t="shared" si="6"/>
        <v>178</v>
      </c>
      <c r="FW7" s="100">
        <f t="shared" si="6"/>
        <v>179</v>
      </c>
      <c r="FX7" s="59">
        <f t="shared" si="6"/>
        <v>180</v>
      </c>
      <c r="FY7" s="60">
        <f t="shared" si="6"/>
        <v>181</v>
      </c>
      <c r="FZ7" s="60">
        <f t="shared" si="6"/>
        <v>182</v>
      </c>
      <c r="GA7" s="60">
        <f t="shared" si="6"/>
        <v>183</v>
      </c>
      <c r="GB7" s="60">
        <f t="shared" si="6"/>
        <v>184</v>
      </c>
      <c r="GC7" s="100">
        <f t="shared" si="6"/>
        <v>185</v>
      </c>
      <c r="GD7" s="59">
        <f t="shared" si="6"/>
        <v>186</v>
      </c>
      <c r="GE7" s="60">
        <f t="shared" si="6"/>
        <v>187</v>
      </c>
      <c r="GF7" s="60">
        <f t="shared" si="6"/>
        <v>188</v>
      </c>
      <c r="GG7" s="60">
        <f t="shared" si="6"/>
        <v>189</v>
      </c>
      <c r="GH7" s="60">
        <f t="shared" si="6"/>
        <v>190</v>
      </c>
      <c r="GI7" s="100">
        <f t="shared" si="6"/>
        <v>191</v>
      </c>
      <c r="GJ7" s="61">
        <f t="shared" si="6"/>
        <v>192</v>
      </c>
      <c r="GK7" s="154">
        <f t="shared" si="6"/>
        <v>193</v>
      </c>
      <c r="GL7" s="191">
        <f t="shared" si="6"/>
        <v>194</v>
      </c>
      <c r="GN7" s="199"/>
      <c r="GP7" s="199"/>
    </row>
    <row r="8" spans="1:200" s="28" customFormat="1" thickBot="1" x14ac:dyDescent="0.25">
      <c r="A8" s="90" t="s">
        <v>3</v>
      </c>
      <c r="B8" s="94" t="s">
        <v>4</v>
      </c>
      <c r="C8" s="54" t="s">
        <v>50</v>
      </c>
      <c r="D8" s="58" t="s">
        <v>4</v>
      </c>
      <c r="E8" s="54" t="s">
        <v>50</v>
      </c>
      <c r="F8" s="58" t="s">
        <v>4</v>
      </c>
      <c r="G8" s="57" t="s">
        <v>5</v>
      </c>
      <c r="H8" s="55" t="s">
        <v>4</v>
      </c>
      <c r="I8" s="55" t="s">
        <v>51</v>
      </c>
      <c r="J8" s="101" t="s">
        <v>69</v>
      </c>
      <c r="K8" s="106" t="s">
        <v>51</v>
      </c>
      <c r="L8" s="56" t="s">
        <v>4</v>
      </c>
      <c r="M8" s="54" t="s">
        <v>51</v>
      </c>
      <c r="N8" s="55" t="s">
        <v>51</v>
      </c>
      <c r="O8" s="55" t="s">
        <v>51</v>
      </c>
      <c r="P8" s="55" t="s">
        <v>4</v>
      </c>
      <c r="Q8" s="58" t="s">
        <v>4</v>
      </c>
      <c r="R8" s="54" t="s">
        <v>4</v>
      </c>
      <c r="S8" s="55" t="s">
        <v>51</v>
      </c>
      <c r="T8" s="55" t="s">
        <v>51</v>
      </c>
      <c r="U8" s="55" t="s">
        <v>51</v>
      </c>
      <c r="V8" s="55" t="s">
        <v>4</v>
      </c>
      <c r="W8" s="58" t="s">
        <v>4</v>
      </c>
      <c r="X8" s="54" t="s">
        <v>4</v>
      </c>
      <c r="Y8" s="55" t="s">
        <v>51</v>
      </c>
      <c r="Z8" s="55" t="s">
        <v>51</v>
      </c>
      <c r="AA8" s="55" t="s">
        <v>51</v>
      </c>
      <c r="AB8" s="55" t="s">
        <v>4</v>
      </c>
      <c r="AC8" s="58" t="s">
        <v>4</v>
      </c>
      <c r="AD8" s="54" t="s">
        <v>4</v>
      </c>
      <c r="AE8" s="55" t="s">
        <v>51</v>
      </c>
      <c r="AF8" s="55" t="s">
        <v>51</v>
      </c>
      <c r="AG8" s="55" t="s">
        <v>51</v>
      </c>
      <c r="AH8" s="55" t="s">
        <v>4</v>
      </c>
      <c r="AI8" s="58" t="s">
        <v>4</v>
      </c>
      <c r="AJ8" s="54" t="s">
        <v>4</v>
      </c>
      <c r="AK8" s="55" t="s">
        <v>51</v>
      </c>
      <c r="AL8" s="55" t="s">
        <v>51</v>
      </c>
      <c r="AM8" s="55" t="s">
        <v>51</v>
      </c>
      <c r="AN8" s="55" t="s">
        <v>4</v>
      </c>
      <c r="AO8" s="58" t="s">
        <v>4</v>
      </c>
      <c r="AP8" s="54" t="s">
        <v>4</v>
      </c>
      <c r="AQ8" s="55" t="s">
        <v>51</v>
      </c>
      <c r="AR8" s="55" t="s">
        <v>51</v>
      </c>
      <c r="AS8" s="55" t="s">
        <v>51</v>
      </c>
      <c r="AT8" s="55" t="s">
        <v>4</v>
      </c>
      <c r="AU8" s="58" t="s">
        <v>4</v>
      </c>
      <c r="AV8" s="54" t="s">
        <v>4</v>
      </c>
      <c r="AW8" s="55" t="s">
        <v>51</v>
      </c>
      <c r="AX8" s="55" t="s">
        <v>51</v>
      </c>
      <c r="AY8" s="55" t="s">
        <v>51</v>
      </c>
      <c r="AZ8" s="55" t="s">
        <v>4</v>
      </c>
      <c r="BA8" s="58" t="s">
        <v>4</v>
      </c>
      <c r="BB8" s="54" t="s">
        <v>4</v>
      </c>
      <c r="BC8" s="55" t="s">
        <v>51</v>
      </c>
      <c r="BD8" s="55" t="s">
        <v>51</v>
      </c>
      <c r="BE8" s="55" t="s">
        <v>51</v>
      </c>
      <c r="BF8" s="55" t="s">
        <v>4</v>
      </c>
      <c r="BG8" s="58" t="s">
        <v>4</v>
      </c>
      <c r="BH8" s="54" t="s">
        <v>4</v>
      </c>
      <c r="BI8" s="55" t="s">
        <v>51</v>
      </c>
      <c r="BJ8" s="55" t="s">
        <v>51</v>
      </c>
      <c r="BK8" s="55" t="s">
        <v>51</v>
      </c>
      <c r="BL8" s="55" t="s">
        <v>4</v>
      </c>
      <c r="BM8" s="58" t="s">
        <v>4</v>
      </c>
      <c r="BN8" s="54" t="s">
        <v>4</v>
      </c>
      <c r="BO8" s="55" t="s">
        <v>51</v>
      </c>
      <c r="BP8" s="55" t="s">
        <v>51</v>
      </c>
      <c r="BQ8" s="55" t="s">
        <v>51</v>
      </c>
      <c r="BR8" s="55" t="s">
        <v>4</v>
      </c>
      <c r="BS8" s="101" t="s">
        <v>4</v>
      </c>
      <c r="BT8" s="54" t="s">
        <v>4</v>
      </c>
      <c r="BU8" s="55" t="s">
        <v>51</v>
      </c>
      <c r="BV8" s="55" t="s">
        <v>51</v>
      </c>
      <c r="BW8" s="55" t="s">
        <v>51</v>
      </c>
      <c r="BX8" s="55" t="s">
        <v>4</v>
      </c>
      <c r="BY8" s="101" t="s">
        <v>4</v>
      </c>
      <c r="BZ8" s="54" t="s">
        <v>4</v>
      </c>
      <c r="CA8" s="55" t="s">
        <v>51</v>
      </c>
      <c r="CB8" s="55" t="s">
        <v>51</v>
      </c>
      <c r="CC8" s="55" t="s">
        <v>51</v>
      </c>
      <c r="CD8" s="55" t="s">
        <v>4</v>
      </c>
      <c r="CE8" s="101" t="s">
        <v>4</v>
      </c>
      <c r="CF8" s="54" t="s">
        <v>4</v>
      </c>
      <c r="CG8" s="55" t="s">
        <v>51</v>
      </c>
      <c r="CH8" s="55" t="s">
        <v>51</v>
      </c>
      <c r="CI8" s="55" t="s">
        <v>51</v>
      </c>
      <c r="CJ8" s="55" t="s">
        <v>4</v>
      </c>
      <c r="CK8" s="101" t="s">
        <v>4</v>
      </c>
      <c r="CL8" s="54" t="s">
        <v>4</v>
      </c>
      <c r="CM8" s="55" t="s">
        <v>51</v>
      </c>
      <c r="CN8" s="55" t="s">
        <v>51</v>
      </c>
      <c r="CO8" s="55" t="s">
        <v>51</v>
      </c>
      <c r="CP8" s="55" t="s">
        <v>4</v>
      </c>
      <c r="CQ8" s="101" t="s">
        <v>4</v>
      </c>
      <c r="CR8" s="54" t="s">
        <v>4</v>
      </c>
      <c r="CS8" s="55" t="s">
        <v>51</v>
      </c>
      <c r="CT8" s="55" t="s">
        <v>51</v>
      </c>
      <c r="CU8" s="55" t="s">
        <v>51</v>
      </c>
      <c r="CV8" s="55" t="s">
        <v>4</v>
      </c>
      <c r="CW8" s="101" t="s">
        <v>4</v>
      </c>
      <c r="CX8" s="54" t="s">
        <v>4</v>
      </c>
      <c r="CY8" s="55" t="s">
        <v>51</v>
      </c>
      <c r="CZ8" s="55" t="s">
        <v>51</v>
      </c>
      <c r="DA8" s="55" t="s">
        <v>51</v>
      </c>
      <c r="DB8" s="55" t="s">
        <v>4</v>
      </c>
      <c r="DC8" s="101" t="s">
        <v>4</v>
      </c>
      <c r="DD8" s="54" t="s">
        <v>4</v>
      </c>
      <c r="DE8" s="55" t="s">
        <v>51</v>
      </c>
      <c r="DF8" s="55" t="s">
        <v>51</v>
      </c>
      <c r="DG8" s="55" t="s">
        <v>51</v>
      </c>
      <c r="DH8" s="55" t="s">
        <v>4</v>
      </c>
      <c r="DI8" s="101" t="s">
        <v>4</v>
      </c>
      <c r="DJ8" s="54" t="s">
        <v>4</v>
      </c>
      <c r="DK8" s="55" t="s">
        <v>51</v>
      </c>
      <c r="DL8" s="55" t="s">
        <v>51</v>
      </c>
      <c r="DM8" s="55" t="s">
        <v>51</v>
      </c>
      <c r="DN8" s="55" t="s">
        <v>4</v>
      </c>
      <c r="DO8" s="101" t="s">
        <v>4</v>
      </c>
      <c r="DP8" s="54" t="s">
        <v>4</v>
      </c>
      <c r="DQ8" s="55" t="s">
        <v>51</v>
      </c>
      <c r="DR8" s="55" t="s">
        <v>51</v>
      </c>
      <c r="DS8" s="55" t="s">
        <v>51</v>
      </c>
      <c r="DT8" s="55" t="s">
        <v>4</v>
      </c>
      <c r="DU8" s="101" t="s">
        <v>4</v>
      </c>
      <c r="DV8" s="54" t="s">
        <v>4</v>
      </c>
      <c r="DW8" s="55" t="s">
        <v>51</v>
      </c>
      <c r="DX8" s="55" t="s">
        <v>51</v>
      </c>
      <c r="DY8" s="55" t="s">
        <v>51</v>
      </c>
      <c r="DZ8" s="160" t="s">
        <v>4</v>
      </c>
      <c r="EA8" s="101" t="s">
        <v>4</v>
      </c>
      <c r="EB8" s="54" t="s">
        <v>4</v>
      </c>
      <c r="EC8" s="55" t="s">
        <v>51</v>
      </c>
      <c r="ED8" s="55" t="s">
        <v>51</v>
      </c>
      <c r="EE8" s="55" t="s">
        <v>51</v>
      </c>
      <c r="EF8" s="160" t="s">
        <v>4</v>
      </c>
      <c r="EG8" s="101" t="s">
        <v>4</v>
      </c>
      <c r="EH8" s="54" t="s">
        <v>4</v>
      </c>
      <c r="EI8" s="55" t="s">
        <v>51</v>
      </c>
      <c r="EJ8" s="55" t="s">
        <v>51</v>
      </c>
      <c r="EK8" s="55" t="s">
        <v>51</v>
      </c>
      <c r="EL8" s="160" t="s">
        <v>4</v>
      </c>
      <c r="EM8" s="101" t="s">
        <v>4</v>
      </c>
      <c r="EN8" s="37" t="s">
        <v>4</v>
      </c>
      <c r="EO8" s="38" t="s">
        <v>51</v>
      </c>
      <c r="EP8" s="38" t="s">
        <v>51</v>
      </c>
      <c r="EQ8" s="38" t="s">
        <v>51</v>
      </c>
      <c r="ER8" s="38" t="s">
        <v>4</v>
      </c>
      <c r="ES8" s="39" t="s">
        <v>4</v>
      </c>
      <c r="ET8" s="54" t="s">
        <v>4</v>
      </c>
      <c r="EU8" s="55" t="s">
        <v>51</v>
      </c>
      <c r="EV8" s="55" t="s">
        <v>51</v>
      </c>
      <c r="EW8" s="55" t="s">
        <v>51</v>
      </c>
      <c r="EX8" s="160" t="s">
        <v>4</v>
      </c>
      <c r="EY8" s="101" t="s">
        <v>4</v>
      </c>
      <c r="EZ8" s="54" t="s">
        <v>4</v>
      </c>
      <c r="FA8" s="55" t="s">
        <v>51</v>
      </c>
      <c r="FB8" s="55" t="s">
        <v>51</v>
      </c>
      <c r="FC8" s="55" t="s">
        <v>51</v>
      </c>
      <c r="FD8" s="160" t="s">
        <v>4</v>
      </c>
      <c r="FE8" s="101" t="s">
        <v>4</v>
      </c>
      <c r="FF8" s="54" t="s">
        <v>4</v>
      </c>
      <c r="FG8" s="55" t="s">
        <v>51</v>
      </c>
      <c r="FH8" s="55" t="s">
        <v>51</v>
      </c>
      <c r="FI8" s="55" t="s">
        <v>51</v>
      </c>
      <c r="FJ8" s="160" t="s">
        <v>4</v>
      </c>
      <c r="FK8" s="101" t="s">
        <v>4</v>
      </c>
      <c r="FL8" s="54" t="s">
        <v>4</v>
      </c>
      <c r="FM8" s="55" t="s">
        <v>51</v>
      </c>
      <c r="FN8" s="55" t="s">
        <v>51</v>
      </c>
      <c r="FO8" s="55" t="s">
        <v>51</v>
      </c>
      <c r="FP8" s="160" t="s">
        <v>4</v>
      </c>
      <c r="FQ8" s="101" t="s">
        <v>4</v>
      </c>
      <c r="FR8" s="54" t="s">
        <v>4</v>
      </c>
      <c r="FS8" s="55" t="s">
        <v>51</v>
      </c>
      <c r="FT8" s="55" t="s">
        <v>51</v>
      </c>
      <c r="FU8" s="55" t="s">
        <v>51</v>
      </c>
      <c r="FV8" s="160" t="s">
        <v>4</v>
      </c>
      <c r="FW8" s="101" t="s">
        <v>4</v>
      </c>
      <c r="FX8" s="54" t="s">
        <v>4</v>
      </c>
      <c r="FY8" s="55" t="s">
        <v>51</v>
      </c>
      <c r="FZ8" s="55" t="s">
        <v>51</v>
      </c>
      <c r="GA8" s="55" t="s">
        <v>51</v>
      </c>
      <c r="GB8" s="160" t="s">
        <v>4</v>
      </c>
      <c r="GC8" s="101" t="s">
        <v>4</v>
      </c>
      <c r="GD8" s="54" t="s">
        <v>4</v>
      </c>
      <c r="GE8" s="55" t="s">
        <v>51</v>
      </c>
      <c r="GF8" s="55" t="s">
        <v>51</v>
      </c>
      <c r="GG8" s="55" t="s">
        <v>51</v>
      </c>
      <c r="GH8" s="160" t="s">
        <v>4</v>
      </c>
      <c r="GI8" s="101" t="s">
        <v>4</v>
      </c>
      <c r="GJ8" s="157" t="s">
        <v>4</v>
      </c>
      <c r="GK8" s="156" t="s">
        <v>4</v>
      </c>
      <c r="GL8" s="192" t="s">
        <v>51</v>
      </c>
      <c r="GN8" s="200" t="s">
        <v>4</v>
      </c>
      <c r="GP8" s="200" t="s">
        <v>4</v>
      </c>
    </row>
    <row r="9" spans="1:200" s="25" customFormat="1" x14ac:dyDescent="0.2">
      <c r="A9" s="168" t="s">
        <v>178</v>
      </c>
      <c r="B9" s="139" t="s">
        <v>8</v>
      </c>
      <c r="C9" s="139" t="s">
        <v>8</v>
      </c>
      <c r="D9" s="139" t="s">
        <v>8</v>
      </c>
      <c r="E9" s="139" t="s">
        <v>8</v>
      </c>
      <c r="F9" s="139" t="s">
        <v>8</v>
      </c>
      <c r="G9" s="95">
        <f>'Исходные данные'!C11</f>
        <v>664</v>
      </c>
      <c r="H9" s="48">
        <f>'Исходные данные'!D11</f>
        <v>545934.79</v>
      </c>
      <c r="I9" s="49">
        <f>'Расчет КРП'!G7</f>
        <v>19.442222095223581</v>
      </c>
      <c r="J9" s="102" t="s">
        <v>8</v>
      </c>
      <c r="K9" s="142">
        <f>((H9/G9)/($H$30/$G$30))/I9</f>
        <v>2.7872336595728981E-2</v>
      </c>
      <c r="L9" s="143">
        <f t="shared" ref="L9:L29" si="7">$D$30*G9/$G$30</f>
        <v>521106.80748029525</v>
      </c>
      <c r="M9" s="147">
        <f t="shared" ref="M9:M29" si="8">(((H9+L9)/G9)/$J$30)/I9</f>
        <v>5.4477097102778788E-2</v>
      </c>
      <c r="N9" s="148" t="s">
        <v>8</v>
      </c>
      <c r="O9" s="149">
        <f t="shared" ref="O9:O29" si="9">$N$30-M9</f>
        <v>0.1172898340297977</v>
      </c>
      <c r="P9" s="161">
        <f t="shared" ref="P9:P29" si="10">IF(O9&gt;0,G9*I9*(($H$30+$L$30)/$G$30)*O9,0)</f>
        <v>3485672.1102762753</v>
      </c>
      <c r="Q9" s="150">
        <f t="shared" ref="Q9:Q29" si="11">IF(($F$30-P$30)&gt;0,P9,$F$30*P9/P$30)</f>
        <v>3485672.1102762753</v>
      </c>
      <c r="R9" s="144" t="s">
        <v>8</v>
      </c>
      <c r="S9" s="47" t="s">
        <v>8</v>
      </c>
      <c r="T9" s="51">
        <f t="shared" ref="T9:T21" si="12">(((H9+L9+Q9)/G9)/$J$30)/I9</f>
        <v>0.23243576194618487</v>
      </c>
      <c r="U9" s="50">
        <f t="shared" ref="U9:U29" si="13">S$30-T9</f>
        <v>4.3174946727884134E-2</v>
      </c>
      <c r="V9" s="52">
        <f t="shared" ref="V9:V29" si="14">IF(U9&gt;0,$G9*$I9*(($H$30+$L$30+$Q$30)/$G$30)*U9,0)</f>
        <v>1594549.5925084706</v>
      </c>
      <c r="W9" s="78">
        <f t="shared" ref="W9:W29" si="15">IF((R$30-V$30)&gt;0,V9,R$30*V9/V$30)</f>
        <v>1594549.5925084706</v>
      </c>
      <c r="X9" s="74" t="s">
        <v>8</v>
      </c>
      <c r="Y9" s="47" t="s">
        <v>8</v>
      </c>
      <c r="Z9" s="51">
        <f t="shared" ref="Z9:Z21" si="16">(((H9+L9+Q9+W9)/G9)/$J$30)/I9</f>
        <v>0.31384442791703931</v>
      </c>
      <c r="AA9" s="50">
        <f t="shared" ref="AA9:AA29" si="17">Y$30-Z9</f>
        <v>6.4078452955034337E-2</v>
      </c>
      <c r="AB9" s="52">
        <f t="shared" ref="AB9:AB29" si="18">IF(AA9&gt;0,$G9*$I9*(($H$30+$L$30+$Q$30+$W$30)/$G$30)*AA9,0)</f>
        <v>2899898.8919940442</v>
      </c>
      <c r="AC9" s="78">
        <f t="shared" ref="AC9:AC29" si="19">IF((X$30-AB$30)&gt;0,AB9,X$30*AB9/AB$30)</f>
        <v>1297636.9509284478</v>
      </c>
      <c r="AD9" s="74" t="s">
        <v>8</v>
      </c>
      <c r="AE9" s="47" t="s">
        <v>8</v>
      </c>
      <c r="AF9" s="51">
        <f t="shared" ref="AF9:AF21" si="20">(((H9+L9+Q9+W9+AC9)/G9)/$J$30)/I9</f>
        <v>0.38009441699601548</v>
      </c>
      <c r="AG9" s="50">
        <f t="shared" ref="AG9:AG29" si="21">AE$30-AF9</f>
        <v>4.4312078505197638E-2</v>
      </c>
      <c r="AH9" s="52">
        <f t="shared" ref="AH9:AH29" si="22">IF(AG9&gt;0,$G9*$I9*(($H$30+$L$30+$Q$30+$W$30+$AC$30)/$G$30)*AG9,0)</f>
        <v>2150644.43271553</v>
      </c>
      <c r="AI9" s="78">
        <f t="shared" ref="AI9:AI29" si="23">IF((AD$30-AH$30)&gt;0,AH9,AD$30*AH9/AH$30)</f>
        <v>0</v>
      </c>
      <c r="AJ9" s="74" t="s">
        <v>8</v>
      </c>
      <c r="AK9" s="47" t="s">
        <v>8</v>
      </c>
      <c r="AL9" s="51">
        <f t="shared" ref="AL9:AL21" si="24">(((H9+L9+Q9+W9+AC9+AI9)/G9)/$J$30)/I9</f>
        <v>0.38009441699601548</v>
      </c>
      <c r="AM9" s="50">
        <f t="shared" ref="AM9:AM29" si="25">AK$30-AL9</f>
        <v>4.4312078505197638E-2</v>
      </c>
      <c r="AN9" s="52">
        <f t="shared" ref="AN9:AN29" si="26">IF(AM9&gt;0,$G9*$I9*(($H$30+$L$30+$Q$30+$W$30+$AC$30+$AI$30)/$G$30)*AM9,0)</f>
        <v>2150644.43271553</v>
      </c>
      <c r="AO9" s="78">
        <f t="shared" ref="AO9:AO29" si="27">IF((AJ$30-AN$30)&gt;0,AN9,AJ$30*AN9/AN$30)</f>
        <v>0</v>
      </c>
      <c r="AP9" s="74" t="s">
        <v>8</v>
      </c>
      <c r="AQ9" s="47" t="s">
        <v>8</v>
      </c>
      <c r="AR9" s="51">
        <f t="shared" ref="AR9:AR21" si="28">(((H9+L9+Q9+W9+AC9+AI9+AO9)/G9)/$J$30)/I9</f>
        <v>0.38009441699601548</v>
      </c>
      <c r="AS9" s="50">
        <f t="shared" ref="AS9:AS29" si="29">AQ$30-AR9</f>
        <v>4.4312078505197638E-2</v>
      </c>
      <c r="AT9" s="52">
        <f t="shared" ref="AT9:AT29" si="30">IF(AS9&gt;0,$G9*$I9*(($H$30+$L$30+$Q$30+$W$30+$AC$30+$AI$30+$AO$30)/$G$30)*AS9,0)</f>
        <v>2150644.43271553</v>
      </c>
      <c r="AU9" s="78">
        <f t="shared" ref="AU9:AU29" si="31">IF((AP$30-AT$30)&gt;0,AT9,AP$30*AT9/AT$30)</f>
        <v>0</v>
      </c>
      <c r="AV9" s="74" t="s">
        <v>8</v>
      </c>
      <c r="AW9" s="47" t="s">
        <v>8</v>
      </c>
      <c r="AX9" s="51">
        <f t="shared" ref="AX9:AX21" si="32">(((H9+L9+Q9+W9+AC9+AI9+AO9+AU9)/G9)/$J$30)/I9</f>
        <v>0.38009441699601548</v>
      </c>
      <c r="AY9" s="50">
        <f t="shared" ref="AY9:AY29" si="33">AW$30-AX9</f>
        <v>4.4312078505197638E-2</v>
      </c>
      <c r="AZ9" s="52">
        <f t="shared" ref="AZ9:AZ29" si="34">IF(AY9&gt;0,$G9*$I9*(($H$30+$L$30+$Q$30+$W$30+$AC$30+$AI$30+$AO$30+$AU$30)/$G$30)*AY9,0)</f>
        <v>2150644.43271553</v>
      </c>
      <c r="BA9" s="78">
        <f t="shared" ref="BA9:BA29" si="35">IF((AV$30-AZ$30)&gt;0,AZ9,AV$30*AZ9/AZ$30)</f>
        <v>0</v>
      </c>
      <c r="BB9" s="74" t="s">
        <v>8</v>
      </c>
      <c r="BC9" s="47" t="s">
        <v>8</v>
      </c>
      <c r="BD9" s="51">
        <f t="shared" ref="BD9:BD21" si="36">(((H9+L9+Q9+W9+AC9+AI9+AO9+AU9+BA9)/G9)/$J$30)/I9</f>
        <v>0.38009441699601548</v>
      </c>
      <c r="BE9" s="50">
        <f t="shared" ref="BE9:BE29" si="37">BC$30-BD9</f>
        <v>4.4312078505197638E-2</v>
      </c>
      <c r="BF9" s="52">
        <f t="shared" ref="BF9:BF29" si="38">IF(BE9&gt;0,$G9*$I9*(($H$30+$L$30+$Q$30+$W$30+$AC$30+$AI$30+$AO$30+$AU$30+$BA$30)/$G$30)*BE9,0)</f>
        <v>2150644.43271553</v>
      </c>
      <c r="BG9" s="78">
        <f t="shared" ref="BG9:BG29" si="39">IF((BB$30-BF$30)&gt;0,BF9,BB$30*BF9/BF$30)</f>
        <v>0</v>
      </c>
      <c r="BH9" s="74" t="s">
        <v>8</v>
      </c>
      <c r="BI9" s="47" t="s">
        <v>8</v>
      </c>
      <c r="BJ9" s="51">
        <f t="shared" ref="BJ9:BJ21" si="40">(((H9+L9+Q9+W9+AC9+AI9+AO9+AU9+BA9+BG9)/G9)/$J$30)/I9</f>
        <v>0.38009441699601548</v>
      </c>
      <c r="BK9" s="50">
        <f t="shared" ref="BK9:BK29" si="41">BI$30-BJ9</f>
        <v>4.4312078505197638E-2</v>
      </c>
      <c r="BL9" s="52">
        <f t="shared" ref="BL9:BL29" si="42">IF(BK9&gt;0,$G9*$I9*(($H$30+$L$30+$Q$30+$W$30+$AC$30+$AI$30+$AO$30+$AU$30+$BA$30+$BG$30)/$G$30)*BK9,0)</f>
        <v>2150644.43271553</v>
      </c>
      <c r="BM9" s="78">
        <f t="shared" ref="BM9:BM29" si="43">IF((BH$30-BL$30)&gt;0,BL9,BH$30*BL9/BL$30)</f>
        <v>0</v>
      </c>
      <c r="BN9" s="74" t="s">
        <v>8</v>
      </c>
      <c r="BO9" s="47" t="s">
        <v>8</v>
      </c>
      <c r="BP9" s="51">
        <f t="shared" ref="BP9:BP21" si="44">(((H9+L9+Q9+W9+AC9+AI9+AO9+AU9+BA9+BG9+BM9)/G9)/$J$30)/I9</f>
        <v>0.38009441699601548</v>
      </c>
      <c r="BQ9" s="50">
        <f t="shared" ref="BQ9:BQ29" si="45">BO$30-BP9</f>
        <v>4.4312078505197638E-2</v>
      </c>
      <c r="BR9" s="52">
        <f t="shared" ref="BR9:BR29" si="46">IF(BQ9&gt;0,$G9*$I9*(($H$30+$L$30+$Q$30+$W$30+$AC$30+$AI$30+$AO$30+$AU$30+$BA$30+$BG$30+$BM$30)/$G$30)*BQ9,0)</f>
        <v>2150644.43271553</v>
      </c>
      <c r="BS9" s="113">
        <f t="shared" ref="BS9:BS29" si="47">IF((BN$30-BR$30)&gt;0,BR9,BN$30*BR9/BR$30)</f>
        <v>0</v>
      </c>
      <c r="BT9" s="74" t="s">
        <v>8</v>
      </c>
      <c r="BU9" s="47" t="s">
        <v>8</v>
      </c>
      <c r="BV9" s="51">
        <f>(((H9+L9+Q9+W9+AC9+AI9+AO9+AU9+BA9+BG9+BM9+BS9)/G9)/$J$30)/I9</f>
        <v>0.38009441699601548</v>
      </c>
      <c r="BW9" s="50">
        <f t="shared" ref="BW9:BW29" si="48">BU$30-BV9</f>
        <v>4.4312078505197638E-2</v>
      </c>
      <c r="BX9" s="52">
        <f t="shared" ref="BX9:BX29" si="49">IF(BW9&gt;0,$G9*$I9*(($H$30+$L$30+$Q$30+$W$30+$AC$30+$AI$30+$AO$30+$AU$30+$BA$30+$BG$30+$BM$30+$BS$30)/$G$30)*BW9,0)</f>
        <v>2150644.43271553</v>
      </c>
      <c r="BY9" s="113">
        <f t="shared" ref="BY9:BY29" si="50">IF((BT$30-BX$30)&gt;0,BX9,BT$30*BX9/BX$30)</f>
        <v>0</v>
      </c>
      <c r="BZ9" s="74" t="s">
        <v>8</v>
      </c>
      <c r="CA9" s="47" t="s">
        <v>8</v>
      </c>
      <c r="CB9" s="51">
        <f>(((H9+L9+Q9+W9+AC9+AI9+AO9+AU9+BA9+BG9+BM9+BS9+BY9)/G9)/$J$30)/I9</f>
        <v>0.38009441699601548</v>
      </c>
      <c r="CC9" s="50">
        <f t="shared" ref="CC9:CC29" si="51">CA$30-CB9</f>
        <v>4.4312078505197638E-2</v>
      </c>
      <c r="CD9" s="52">
        <f t="shared" ref="CD9:CD29" si="52">IF(CC9&gt;0,$G9*$I9*(($H$30+$L$30+$Q$30+$W$30+$AC$30+$AI$30+$AO$30+$AU$30+$BA$30+$BG$30+$BM$30+$BS$30+$BY$30)/$G$30)*CC9,0)</f>
        <v>2150644.43271553</v>
      </c>
      <c r="CE9" s="113">
        <f t="shared" ref="CE9:CE29" si="53">IF((BZ$30-CD$30)&gt;0,CD9,BZ$30*CD9/CD$30)</f>
        <v>0</v>
      </c>
      <c r="CF9" s="74" t="s">
        <v>8</v>
      </c>
      <c r="CG9" s="47" t="s">
        <v>8</v>
      </c>
      <c r="CH9" s="51">
        <f t="shared" ref="CH9:CH21" si="54">(((H9+L9+Q9+W9+AC9+AI9+AO9+AU9+BA9+BG9+BM9+BS9+BY9+CE9)/G9)/$J$30)/I9</f>
        <v>0.38009441699601548</v>
      </c>
      <c r="CI9" s="50">
        <f t="shared" ref="CI9:CI29" si="55">CG$30-CH9</f>
        <v>4.4312078505197638E-2</v>
      </c>
      <c r="CJ9" s="52">
        <f t="shared" ref="CJ9:CJ29" si="56">IF(CI9&gt;0,$G9*$I9*(($H$30+$L$30+$Q$30+$W$30+$AC$30+$AI$30+$AO$30+$AU$30+$BA$30+$BG$30+$BM$30+$BS$30+$BY$30+$CE$30)/$G$30)*CI9,0)</f>
        <v>2150644.43271553</v>
      </c>
      <c r="CK9" s="113">
        <f t="shared" ref="CK9:CK29" si="57">IF((CF$30-CJ$30)&gt;0,CJ9,CF$30*CJ9/CJ$30)</f>
        <v>0</v>
      </c>
      <c r="CL9" s="74" t="s">
        <v>8</v>
      </c>
      <c r="CM9" s="47" t="s">
        <v>8</v>
      </c>
      <c r="CN9" s="51">
        <f>(((H9+L9+Q9+W9+AC9+AI9+AO9+AU9+BA9+BG9+BM9+BS9+BY9+CE9+CK9)/G9)/$J$30)/I9</f>
        <v>0.38009441699601548</v>
      </c>
      <c r="CO9" s="50">
        <f t="shared" ref="CO9:CO29" si="58">CM$30-CN9</f>
        <v>4.4312078505197638E-2</v>
      </c>
      <c r="CP9" s="52">
        <f t="shared" ref="CP9:CP29" si="59">IF(CO9&gt;0,$G9*$I9*(($H$30+$L$30+$Q$30+$W$30+$AC$30+$AI$30+$AO$30+$AU$30+$BA$30+$BG$30+$BM$30+$BS$30+$BY$30+$CE$30+$CK$30)/$G$30)*CO9,0)</f>
        <v>2150644.43271553</v>
      </c>
      <c r="CQ9" s="113">
        <f t="shared" ref="CQ9:CQ29" si="60">IF((CL$30-CP$30)&gt;0,CP9,CL$30*CP9/CP$30)</f>
        <v>0</v>
      </c>
      <c r="CR9" s="74" t="s">
        <v>8</v>
      </c>
      <c r="CS9" s="47" t="s">
        <v>8</v>
      </c>
      <c r="CT9" s="51">
        <f>(((H9+L9+Q9+W9+AC9+AI9+AO9+AU9+BA9+BG9+BM9+BS9+BY9+CE9+CK9+CQ9)/G9)/$J$30)/I9</f>
        <v>0.38009441699601548</v>
      </c>
      <c r="CU9" s="50">
        <f t="shared" ref="CU9:CU29" si="61">CS$30-CT9</f>
        <v>4.4312078505197638E-2</v>
      </c>
      <c r="CV9" s="52">
        <f t="shared" ref="CV9:CV29" si="62">IF(CU9&gt;0,$G9*$I9*(($H$30+$L$30+$Q$30+$W$30+$AC$30+$AI$30+$AO$30+$AU$30+$BA$30+$BG$30+$BM$30+$BS$30+$BY$30+$CE$30+$CK$30+$CQ$30)/$G$30)*CU9,0)</f>
        <v>2150644.43271553</v>
      </c>
      <c r="CW9" s="113">
        <f t="shared" ref="CW9:CW29" si="63">IF((CR$30-CV$30)&gt;0,CV9,CR$30*CV9/CV$30)</f>
        <v>0</v>
      </c>
      <c r="CX9" s="74" t="s">
        <v>8</v>
      </c>
      <c r="CY9" s="47" t="s">
        <v>8</v>
      </c>
      <c r="CZ9" s="51">
        <f>(((H9+L9+Q9+W9+AC9+AI9+AO9+AU9+BA9+BG9+BM9+BS9+BY9+CE9+CK9+CQ9+CW9)/G9)/$J$30)/I9</f>
        <v>0.38009441699601548</v>
      </c>
      <c r="DA9" s="50">
        <f t="shared" ref="DA9:DA29" si="64">CY$30-CZ9</f>
        <v>4.4312078505197638E-2</v>
      </c>
      <c r="DB9" s="52">
        <f t="shared" ref="DB9:DB29" si="65">IF(DA9&gt;0,$G9*$I9*(($H$30+$L$30+$Q$30+$W$30+$AC$30+$AI$30+$AO$30+$AU$30+$BA$30+$BG$30+$BM$30+$BS$30+$BY$30+$CE$30+$CK$30+$CQ$30+$CW$30)/$G$30)*DA9,0)</f>
        <v>2150644.43271553</v>
      </c>
      <c r="DC9" s="113">
        <f t="shared" ref="DC9:DC29" si="66">IF((CX$30-DB$30)&gt;0,DB9,CX$30*DB9/DB$30)</f>
        <v>0</v>
      </c>
      <c r="DD9" s="74" t="s">
        <v>8</v>
      </c>
      <c r="DE9" s="47" t="s">
        <v>8</v>
      </c>
      <c r="DF9" s="51">
        <f>(((H9+L9+Q9+W9+AC9+AI9+AO9+AU9+BA9+BG9+BM9+BS9+BY9+CE9+CK9+CQ9+CW9+DC9)/G9)/$J$30)/I9</f>
        <v>0.38009441699601548</v>
      </c>
      <c r="DG9" s="50">
        <f t="shared" ref="DG9:DG29" si="67">DE$30-DF9</f>
        <v>4.4312078505197638E-2</v>
      </c>
      <c r="DH9" s="52">
        <f t="shared" ref="DH9:DH29" si="68">IF(DG9&gt;0,$G9*$I9*(($H$30+$L$30+$Q$30+$W$30+$AC$30+$AI$30+$AO$30+$AU$30+$BA$30+$BG$30+$BM$30+$BS$30+$BY$30+$CE$30+$CK$30+$CQ$30+$CW$30+$DC$30)/$G$30)*DG9,0)</f>
        <v>2150644.43271553</v>
      </c>
      <c r="DI9" s="113">
        <f t="shared" ref="DI9:DI29" si="69">IF((DD$30-DH$30)&gt;0,DH9,DD$30*DH9/DH$30)</f>
        <v>0</v>
      </c>
      <c r="DJ9" s="74" t="s">
        <v>8</v>
      </c>
      <c r="DK9" s="47" t="s">
        <v>8</v>
      </c>
      <c r="DL9" s="51">
        <f>(((H9+L9+Q9+W9+AC9+AI9+AO9+AU9+BA9+BG9+BM9+BS9+BY9+CE9+CK9+CQ9+CW9+DC9+DI9)/G9)/$J$30)/I9</f>
        <v>0.38009441699601548</v>
      </c>
      <c r="DM9" s="50">
        <f t="shared" ref="DM9:DM29" si="70">DK$30-DL9</f>
        <v>4.4312078505197638E-2</v>
      </c>
      <c r="DN9" s="52">
        <f t="shared" ref="DN9:DN29" si="71">IF(DM9&gt;0,$G9*$I9*(($H$30+$L$30+$Q$30+$W$30+$AC$30+$AI$30+$AO$30+$AU$30+$BA$30+$BG$30+$BM$30+$BS$30+$BY$30+$CE$30+$CK$30+$CQ$30+$CW$30+$DC$30+$DI$30)/$G$30)*DM9,0)</f>
        <v>2150644.43271553</v>
      </c>
      <c r="DO9" s="113">
        <f t="shared" ref="DO9:DO29" si="72">IF((DJ$30-DN$30)&gt;0,DN9,DJ$30*DN9/DN$30)</f>
        <v>0</v>
      </c>
      <c r="DP9" s="74" t="s">
        <v>8</v>
      </c>
      <c r="DQ9" s="47" t="s">
        <v>8</v>
      </c>
      <c r="DR9" s="51">
        <f>(((H9+L9+Q9+W9+AC9+AI9+AO9+AU9+BA9+BG9+BM9+BS9+BY9+CE9+CK9+CQ9+CW9+DC9+DI9+DO9)/G9)/$J$30)/I9</f>
        <v>0.38009441699601548</v>
      </c>
      <c r="DS9" s="50">
        <f t="shared" ref="DS9:DS29" si="73">DQ$30-DR9</f>
        <v>4.4312078505197638E-2</v>
      </c>
      <c r="DT9" s="52">
        <f t="shared" ref="DT9:DT29" si="74">IF(DS9&gt;0,$G9*$I9*(($H$30+$L$30+$Q$30+$W$30+$AC$30+$AI$30+$AO$30+$AU$30+$BA$30+$BG$30+$BM$30+$BS$30+$BY$30+$CE$30+$CK$30+$CQ$30+$CW$30+$DC$30+$DI$30+$DO$30)/$G$30)*DS9,0)</f>
        <v>2150644.43271553</v>
      </c>
      <c r="DU9" s="113">
        <f t="shared" ref="DU9:DU29" si="75">IF((DP$30-DT$30)&gt;0,DT9,DP$30*DT9/DT$30)</f>
        <v>0</v>
      </c>
      <c r="DV9" s="158" t="s">
        <v>8</v>
      </c>
      <c r="DW9" s="148" t="s">
        <v>8</v>
      </c>
      <c r="DX9" s="162">
        <f t="shared" ref="DX9:DX29" si="76">((($H9+$L9+$Q9+$W9+$AC9+$AI9+$AO9+$AU9+$BA9+$BG9+$BM9+$BS9+$BY9+$CE9+$CK9+$CQ9+$CW9+$DC9+$DI9+$DO9+$DU9)/$G9)/$J$30)/$I9</f>
        <v>0.38009441699601548</v>
      </c>
      <c r="DY9" s="149">
        <f t="shared" ref="DY9:DY29" si="77">DW$30-DX9</f>
        <v>4.4312078505197638E-2</v>
      </c>
      <c r="DZ9" s="34">
        <f t="shared" ref="DZ9:DZ29" si="78">IF(DY9&gt;0,$G9*$I9*(($H$30+$L$30+$Q$30+$W$30+$AC$30+$AI$30+$AO$30+$AU$30+$BA$30+$BG$30+$BM$30+$BS$30+$BY$30+$CE$30+$CK$30+$CQ$30+$CW$30+$DC$30+$DI$30+$DO$30+$DU$30)/$G$30)*DY9,0)</f>
        <v>2150644.43271553</v>
      </c>
      <c r="EA9" s="150">
        <f t="shared" ref="EA9:EA29" si="79">IF((DV$30-DZ$30)&gt;0,DZ9,DV$30*DZ9/DZ$30)</f>
        <v>0</v>
      </c>
      <c r="EB9" s="158" t="s">
        <v>8</v>
      </c>
      <c r="EC9" s="148" t="s">
        <v>8</v>
      </c>
      <c r="ED9" s="162">
        <f t="shared" ref="ED9:ED29" si="80">((($H9+$L9+$Q9+$W9+$AC9+$AI9+$AO9+$AU9+$BA9+$BG9+$BM9+$BS9+$BY9+$CE9+$CK9+$CQ9+$CW9+$DC9+$DI9+$DO9+$DU9+$EA9)/$G9)/$J$30)/$I9</f>
        <v>0.38009441699601548</v>
      </c>
      <c r="EE9" s="149">
        <f t="shared" ref="EE9:EE29" si="81">EC$30-ED9</f>
        <v>4.4312078505197638E-2</v>
      </c>
      <c r="EF9" s="34">
        <f t="shared" ref="EF9:EF29" si="82">IF(EE9&gt;0,$G9*$I9*(($H$30+$L$30+$Q$30+$W$30+$AC$30+$AI$30+$AO$30+$AU$30+$BA$30+$BG$30+$BM$30+$BS$30+$BY$30+$CE$30+$CK$30+$CQ$30+$CW$30+$DC$30+$DI$30+$DO$30+$DU$30+$EA$30)/$G$30)*EE9,0)</f>
        <v>2150644.43271553</v>
      </c>
      <c r="EG9" s="150">
        <f t="shared" ref="EG9:EG29" si="83">IF((EB$30-EF$30)&gt;0,EF9,EB$30*EF9/EF$30)</f>
        <v>0</v>
      </c>
      <c r="EH9" s="158" t="s">
        <v>8</v>
      </c>
      <c r="EI9" s="148" t="s">
        <v>8</v>
      </c>
      <c r="EJ9" s="162">
        <f t="shared" ref="EJ9:EJ29" si="84">((($H9+$L9+$Q9+$W9+$AC9+$AI9+$AO9+$AU9+$BA9+$BG9+$BM9+$BS9+$BY9+$CE9+$CK9+$CQ9+$CW9+$DC9+$DI9+$DO9+$DU9+$EA9+$EG9)/$G9)/$J$30)/$I9</f>
        <v>0.38009441699601548</v>
      </c>
      <c r="EK9" s="149">
        <f t="shared" ref="EK9:EK29" si="85">EI$30-EJ9</f>
        <v>4.4312078505197638E-2</v>
      </c>
      <c r="EL9" s="34">
        <f t="shared" ref="EL9:EL29" si="86">IF(EK9&gt;0,$G9*$I9*(($H$30+$L$30+$Q$30+$W$30+$AC$30+$AI$30+$AO$30+$AU$30+$BA$30+$BG$30+$BM$30+$BS$30+$BY$30+$CE$30+$CK$30+$CQ$30+$CW$30+$DC$30+$DI$30+$DO$30+$DU$30+$EA$30+$EG$30)/$G$30)*EK9,0)</f>
        <v>2150644.43271553</v>
      </c>
      <c r="EM9" s="150">
        <f t="shared" ref="EM9:EM29" si="87">IF((EH$30-EL$30)&gt;0,EL9,EH$30*EL9/EL$30)</f>
        <v>0</v>
      </c>
      <c r="EN9" s="74" t="s">
        <v>8</v>
      </c>
      <c r="EO9" s="47" t="s">
        <v>8</v>
      </c>
      <c r="EP9" s="163">
        <f t="shared" ref="EP9:EP29" si="88">((($H9+$L9+$Q9+$W9+$AC9+$AI9+$AO9+$AU9+$BA9+$BG9+$BM9+$BS9+$BY9+$CE9+$CK9+$CQ9+$CW9+$DC9+$DI9+$DO9+$DU9+$EA9+$EG9+$EM9)/$G9)/$J$30)/$I9</f>
        <v>0.38009441699601548</v>
      </c>
      <c r="EQ9" s="50">
        <f t="shared" ref="EQ9:EQ29" si="89">EO$30-EP9</f>
        <v>4.4312078505197638E-2</v>
      </c>
      <c r="ER9" s="52">
        <f t="shared" ref="ER9:ER29" si="90">IF(EQ9&gt;0,$G9*$I9*(($H$30+$L$30+$Q$30+$W$30+$AC$30+$AI$30+$AO$30+$AU$30+$BA$30+$BG$30+$BM$30+$BS$30+$BY$30+$CE$30+$CK$30+$CQ$30+$CW$30+$DC$30+$DI$30+$DO$30+$DU$30+$EA$30+$EG$30+$EM$30)/$G$30)*EQ9,0)</f>
        <v>2150644.43271553</v>
      </c>
      <c r="ES9" s="78">
        <f t="shared" ref="ES9:ES29" si="91">IF((EN$30-ER$30)&gt;0,ER9,EN$30*ER9/ER$30)</f>
        <v>0</v>
      </c>
      <c r="ET9" s="158" t="s">
        <v>8</v>
      </c>
      <c r="EU9" s="148" t="s">
        <v>8</v>
      </c>
      <c r="EV9" s="162">
        <f t="shared" ref="EV9:EV29" si="92">((($H9+$L9+$Q9+$W9+$AC9+$AI9+$AO9+$AU9+$BA9+$BG9+$BM9+$BS9+$BY9+$CE9+$CK9+$CQ9+$CW9+$DC9+$DI9+$DO9+$DU9+$EA9+$EG9+$EM9+$ES9)/$G9)/$J$30)/$I9</f>
        <v>0.38009441699601548</v>
      </c>
      <c r="EW9" s="149">
        <f t="shared" ref="EW9:EW29" si="93">EU$30-EV9</f>
        <v>4.4312078505197638E-2</v>
      </c>
      <c r="EX9" s="34">
        <f t="shared" ref="EX9:EX29" si="94">IF(EW9&gt;0,$G9*$I9*(($H$30+$L$30+$Q$30+$W$30+$AC$30+$AI$30+$AO$30+$AU$30+$BA$30+$BG$30+$BM$30+$BS$30+$BY$30+$CE$30+$CK$30+$CQ$30+$CW$30+$DC$30+$DI$30+$DO$30+$DU$30+$EA$30+$EG$30+$EM$30+$ES$30)/$G$30)*EW9,0)</f>
        <v>2150644.43271553</v>
      </c>
      <c r="EY9" s="150">
        <f t="shared" ref="EY9:EY29" si="95">IF((ET$30-EX$30)&gt;0,EX9,ET$30*EX9/EX$30)</f>
        <v>0</v>
      </c>
      <c r="EZ9" s="158" t="s">
        <v>8</v>
      </c>
      <c r="FA9" s="148" t="s">
        <v>8</v>
      </c>
      <c r="FB9" s="162">
        <f t="shared" ref="FB9:FB29" si="96">((($H9+$L9+$Q9+$W9+$AC9+$AI9+$AO9+$AU9+$BA9+$BG9+$BM9+$BS9+$BY9+$CE9+$CK9+$CQ9+$CW9+$DC9+$DI9+$DO9+$DU9+$EA9+$EG9+$EM9+$ES9+$EY9)/$G9)/$J$30)/$I9</f>
        <v>0.38009441699601548</v>
      </c>
      <c r="FC9" s="149">
        <f t="shared" ref="FC9:FC29" si="97">FA$30-FB9</f>
        <v>4.4312078505197638E-2</v>
      </c>
      <c r="FD9" s="34">
        <f t="shared" ref="FD9:FD29" si="98">IF(FC9&gt;0,$G9*$I9*(($H$30+$L$30+$Q$30+$W$30+$AC$30+$AI$30+$AO$30+$AU$30+$BA$30+$BG$30+$BM$30+$BS$30+$BY$30+$CE$30+$CK$30+$CQ$30+$CW$30+$DC$30+$DI$30+$DO$30+$DU$30+$EA$30+$EG$30+$EM$30+$ES$30+$EY$30)/$G$30)*FC9,0)</f>
        <v>2150644.43271553</v>
      </c>
      <c r="FE9" s="150">
        <f t="shared" ref="FE9:FE29" si="99">IF((EZ$30-FD$30)&gt;0,FD9,EZ$30*FD9/FD$30)</f>
        <v>0</v>
      </c>
      <c r="FF9" s="158" t="s">
        <v>8</v>
      </c>
      <c r="FG9" s="148" t="s">
        <v>8</v>
      </c>
      <c r="FH9" s="162">
        <f t="shared" ref="FH9:FH29" si="100">((($H9+$L9+$Q9+$W9+$AC9+$AI9+$AO9+$AU9+$BA9+$BG9+$BM9+$BS9+$BY9+$CE9+$CK9+$CQ9+$CW9+$DC9+$DI9+$DO9+$DU9+$EA9+$EG9+$EM9+$ES9+$EY9+$FE9)/$G9)/$J$30)/$I9</f>
        <v>0.38009441699601548</v>
      </c>
      <c r="FI9" s="149">
        <f t="shared" ref="FI9:FI29" si="101">FG$30-FH9</f>
        <v>4.4312078505197638E-2</v>
      </c>
      <c r="FJ9" s="34">
        <f t="shared" ref="FJ9:FJ29" si="102">IF(FI9&gt;0,$G9*$I9*(($H$30+$L$30+$Q$30+$W$30+$AC$30+$AI$30+$AO$30+$AU$30+$BA$30+$BG$30+$BM$30+$BS$30+$BY$30+$CE$30+$CK$30+$CQ$30+$CW$30+$DC$30+$DI$30+$DO$30+$DU$30+$EA$30+$EG$30+$EM$30+$ES$30+$EY$30+$FE$30)/$G$30)*FI9,0)</f>
        <v>2150644.43271553</v>
      </c>
      <c r="FK9" s="150">
        <f t="shared" ref="FK9:FK29" si="103">IF((FF$30-FJ$30)&gt;0,FJ9,FF$30*FJ9/FJ$30)</f>
        <v>0</v>
      </c>
      <c r="FL9" s="158" t="s">
        <v>8</v>
      </c>
      <c r="FM9" s="148" t="s">
        <v>8</v>
      </c>
      <c r="FN9" s="162">
        <f t="shared" ref="FN9:FN29" si="104">((($H9+$L9+$Q9+$W9+$AC9+$AI9+$AO9+$AU9+$BA9+$BG9+$BM9+$BS9+$BY9+$CE9+$CK9+$CQ9+$CW9+$DC9+$DI9+$DO9+$DU9+$EA9+$EG9+$EM9+$ES9+$EY9+$FE9+$FK9)/$G9)/$J$30)/$I9</f>
        <v>0.38009441699601548</v>
      </c>
      <c r="FO9" s="149">
        <f t="shared" ref="FO9:FO29" si="105">FM$30-FN9</f>
        <v>4.4312078505197638E-2</v>
      </c>
      <c r="FP9" s="34">
        <f t="shared" ref="FP9:FP29" si="106">IF(FO9&gt;0,$G9*$I9*(($H$30+$L$30+$Q$30+$W$30+$AC$30+$AI$30+$AO$30+$AU$30+$BA$30+$BG$30+$BM$30+$BS$30+$BY$30+$CE$30+$CK$30+$CQ$30+$CW$30+$DC$30+$DI$30+$DO$30+$DU$30+$EA$30+$EG$30+$EM$30+$ES$30+$EY$30+$FE$30+$FK$30)/$G$30)*FO9,0)</f>
        <v>2150644.43271553</v>
      </c>
      <c r="FQ9" s="150">
        <f t="shared" ref="FQ9:FQ29" si="107">IF((FL$30-FP$30)&gt;0,FP9,FL$30*FP9/FP$30)</f>
        <v>0</v>
      </c>
      <c r="FR9" s="158" t="s">
        <v>8</v>
      </c>
      <c r="FS9" s="148" t="s">
        <v>8</v>
      </c>
      <c r="FT9" s="162">
        <f t="shared" ref="FT9:FT29" si="108">((($H9+$L9+$Q9+$W9+$AC9+$AI9+$AO9+$AU9+$BA9+$BG9+$BM9+$BS9+$BY9+$CE9+$CK9+$CQ9+$CW9+$DC9+$DI9+$DO9+$DU9+$EA9+$EG9+$EM9+$ES9+$EY9+$FE9+$FK9+$FQ9)/$G9)/$J$30)/$I9</f>
        <v>0.38009441699601548</v>
      </c>
      <c r="FU9" s="149">
        <f t="shared" ref="FU9:FU29" si="109">FS$30-FT9</f>
        <v>4.4312078505197638E-2</v>
      </c>
      <c r="FV9" s="34">
        <f t="shared" ref="FV9:FV29" si="110">IF(FU9&gt;0,$G9*$I9*(($H$30+$L$30+$Q$30+$W$30+$AC$30+$AI$30+$AO$30+$AU$30+$BA$30+$BG$30+$BM$30+$BS$30+$BY$30+$CE$30+$CK$30+$CQ$30+$CW$30+$DC$30+$DI$30+$DO$30+$DU$30+$EA$30+$EG$30+$EM$30+$ES$30+$EY$30+$FE$30+$FK$30+$FQ$30)/$G$30)*FU9,0)</f>
        <v>2150644.43271553</v>
      </c>
      <c r="FW9" s="150">
        <f t="shared" ref="FW9:FW29" si="111">IF((FR$30-FV$30)&gt;0,FV9,FR$30*FV9/FV$30)</f>
        <v>0</v>
      </c>
      <c r="FX9" s="158" t="s">
        <v>8</v>
      </c>
      <c r="FY9" s="148" t="s">
        <v>8</v>
      </c>
      <c r="FZ9" s="162">
        <f t="shared" ref="FZ9:FZ29" si="112">((($H9+$L9+$Q9+$W9+$AC9+$AI9+$AO9+$AU9+$BA9+$BG9+$BM9+$BS9+$BY9+$CE9+$CK9+$CQ9+$CW9+$DC9+$DI9+$DO9+$DU9+$EA9+$EG9+$EM9+$ES9+$EY9+$FE9+$FK9+$FQ9+$FW9)/$G9)/$J$30)/$I9</f>
        <v>0.38009441699601548</v>
      </c>
      <c r="GA9" s="149">
        <f t="shared" ref="GA9:GA29" si="113">FY$30-FZ9</f>
        <v>4.4312078505197638E-2</v>
      </c>
      <c r="GB9" s="34">
        <f t="shared" ref="GB9:GB29" si="114">IF(GA9&gt;0,$G9*$I9*(($H$30+$L$30+$Q$30+$W$30+$AC$30+$AI$30+$AO$30+$AU$30+$BA$30+$BG$30+$BM$30+$BS$30+$BY$30+$CE$30+$CK$30+$CQ$30+$CW$30+$DC$30+$DI$30+$DO$30+$DU$30+$EA$30+$EG$30+$EM$30+$ES$30+$EY$30+$FE$30+$FK$30+$FQ$30+$FW$30)/$G$30)*GA9,0)</f>
        <v>2150644.43271553</v>
      </c>
      <c r="GC9" s="150">
        <f t="shared" ref="GC9:GC29" si="115">IF((FX$30-GB$30)&gt;0,GB9,FX$30*GB9/GB$30)</f>
        <v>0</v>
      </c>
      <c r="GD9" s="158" t="s">
        <v>8</v>
      </c>
      <c r="GE9" s="148" t="s">
        <v>8</v>
      </c>
      <c r="GF9" s="162">
        <f t="shared" ref="GF9:GF29" si="116">((($H9+$L9+$Q9+$W9+$AC9+$AI9+$AO9+$AU9+$BA9+$BG9+$BM9+$BS9+$BY9+$CE9+$CK9+$CQ9+$CW9+$DC9+$DI9+$DO9+$DU9+$EA9+$EG9+$EM9+$ES9+$EY9+$FE9+$FK9+$FQ9+$FW9+$GC9)/$G9)/$J$30)/$I9</f>
        <v>0.38009441699601548</v>
      </c>
      <c r="GG9" s="149">
        <f t="shared" ref="GG9:GG29" si="117">GE$30-GF9</f>
        <v>4.4312078505197638E-2</v>
      </c>
      <c r="GH9" s="34">
        <f t="shared" ref="GH9:GH29" si="118">IF(GG9&gt;0,$G9*$I9*(($H$30+$L$30+$Q$30+$W$30+$AC$30+$AI$30+$AO$30+$AU$30+$BA$30+$BG$30+$BM$30+$BS$30+$BY$30+$CE$30+$CK$30+$CQ$30+$CW$30+$DC$30+$DI$30+$DO$30+$DU$30+$EA$30+$EG$30+$EM$30+$ES$30+$EY$30+$FE$30+$FK$30+$FQ$30+$FW$30+$GC$30)/$G$30)*GG9,0)</f>
        <v>2150644.43271553</v>
      </c>
      <c r="GI9" s="166">
        <f t="shared" ref="GI9:GI29" si="119">IF((GD$30-GH$30)&gt;0,GH9,GD$30*GH9/GH$30)</f>
        <v>0</v>
      </c>
      <c r="GJ9" s="164">
        <f>Q9+W9+AC9+AI9+AO9+AU9+BA9+BG9+BM9+BS9+BY9+CE9+CK9+CQ9+CW9+DC9+DI9+DO9+DU9+EA9+EG9+EM9+ES9+EY9+FE9+FK9+FQ9+FW9+GC9+GI9</f>
        <v>6377858.6537131937</v>
      </c>
      <c r="GK9" s="151">
        <f t="shared" ref="GK9:GK30" si="120">L9+GJ9</f>
        <v>6898965.4611934889</v>
      </c>
      <c r="GL9" s="193">
        <f t="shared" ref="GL9:GL29" si="121">K9+GK9/($H$30/$G$30)/G9/I9</f>
        <v>0.38009441699601548</v>
      </c>
      <c r="GM9" s="197"/>
      <c r="GN9" s="201">
        <v>6898965.4611934889</v>
      </c>
      <c r="GO9" s="197"/>
      <c r="GP9" s="201">
        <v>6961615.5999999996</v>
      </c>
      <c r="GQ9" s="197">
        <f t="shared" ref="GQ9:GQ30" si="122">GK9-GP9</f>
        <v>-62650.138806510717</v>
      </c>
      <c r="GR9" s="224">
        <f t="shared" ref="GR9:GR30" si="123">(GK9/GP9*100)-100</f>
        <v>-0.8999367733907917</v>
      </c>
    </row>
    <row r="10" spans="1:200" s="25" customFormat="1" ht="25.5" x14ac:dyDescent="0.2">
      <c r="A10" s="171" t="s">
        <v>179</v>
      </c>
      <c r="B10" s="140" t="s">
        <v>8</v>
      </c>
      <c r="C10" s="140" t="s">
        <v>8</v>
      </c>
      <c r="D10" s="140" t="s">
        <v>8</v>
      </c>
      <c r="E10" s="140" t="s">
        <v>8</v>
      </c>
      <c r="F10" s="140" t="s">
        <v>8</v>
      </c>
      <c r="G10" s="96">
        <f>'Исходные данные'!C12</f>
        <v>359</v>
      </c>
      <c r="H10" s="31">
        <f>'Исходные данные'!D12</f>
        <v>230702.21</v>
      </c>
      <c r="I10" s="32">
        <f>'Расчет КРП'!G8</f>
        <v>9.7979589711327115</v>
      </c>
      <c r="J10" s="103" t="s">
        <v>8</v>
      </c>
      <c r="K10" s="107">
        <f t="shared" ref="K10:K29" si="124">((H10/G10)/($H$30/$G$30))/I10</f>
        <v>4.3228311891126775E-2</v>
      </c>
      <c r="L10" s="76">
        <f t="shared" si="7"/>
        <v>281742.98777925596</v>
      </c>
      <c r="M10" s="72">
        <f t="shared" si="8"/>
        <v>9.6020496885191611E-2</v>
      </c>
      <c r="N10" s="30" t="s">
        <v>8</v>
      </c>
      <c r="O10" s="33">
        <f t="shared" si="9"/>
        <v>7.5746434247384878E-2</v>
      </c>
      <c r="P10" s="34">
        <f t="shared" si="10"/>
        <v>613344.44874625024</v>
      </c>
      <c r="Q10" s="79">
        <f t="shared" si="11"/>
        <v>613344.44874625024</v>
      </c>
      <c r="R10" s="145" t="s">
        <v>8</v>
      </c>
      <c r="S10" s="30" t="s">
        <v>8</v>
      </c>
      <c r="T10" s="35">
        <f t="shared" si="12"/>
        <v>0.21094720316639334</v>
      </c>
      <c r="U10" s="33">
        <f t="shared" si="13"/>
        <v>6.4663505507675662E-2</v>
      </c>
      <c r="V10" s="52">
        <f t="shared" si="14"/>
        <v>650701.11514753173</v>
      </c>
      <c r="W10" s="79">
        <f t="shared" si="15"/>
        <v>650701.11514753173</v>
      </c>
      <c r="X10" s="75" t="s">
        <v>8</v>
      </c>
      <c r="Y10" s="30" t="s">
        <v>8</v>
      </c>
      <c r="Z10" s="35">
        <f t="shared" si="16"/>
        <v>0.3328736933959473</v>
      </c>
      <c r="AA10" s="33">
        <f t="shared" si="17"/>
        <v>4.5049187476126351E-2</v>
      </c>
      <c r="AB10" s="52">
        <f t="shared" si="18"/>
        <v>555486.98265995912</v>
      </c>
      <c r="AC10" s="79">
        <f t="shared" si="19"/>
        <v>248567.43676454815</v>
      </c>
      <c r="AD10" s="75" t="s">
        <v>8</v>
      </c>
      <c r="AE10" s="30" t="s">
        <v>8</v>
      </c>
      <c r="AF10" s="35">
        <f t="shared" si="20"/>
        <v>0.37944953973238166</v>
      </c>
      <c r="AG10" s="33">
        <f t="shared" si="21"/>
        <v>4.4956955768831464E-2</v>
      </c>
      <c r="AH10" s="52">
        <f t="shared" si="22"/>
        <v>594510.4242393102</v>
      </c>
      <c r="AI10" s="79">
        <f t="shared" si="23"/>
        <v>0</v>
      </c>
      <c r="AJ10" s="75" t="s">
        <v>8</v>
      </c>
      <c r="AK10" s="30" t="s">
        <v>8</v>
      </c>
      <c r="AL10" s="35">
        <f t="shared" si="24"/>
        <v>0.37944953973238166</v>
      </c>
      <c r="AM10" s="33">
        <f t="shared" si="25"/>
        <v>4.4956955768831464E-2</v>
      </c>
      <c r="AN10" s="52">
        <f t="shared" si="26"/>
        <v>594510.4242393102</v>
      </c>
      <c r="AO10" s="79">
        <f t="shared" si="27"/>
        <v>0</v>
      </c>
      <c r="AP10" s="75" t="s">
        <v>8</v>
      </c>
      <c r="AQ10" s="30" t="s">
        <v>8</v>
      </c>
      <c r="AR10" s="35">
        <f t="shared" si="28"/>
        <v>0.37944953973238166</v>
      </c>
      <c r="AS10" s="33">
        <f t="shared" si="29"/>
        <v>4.4956955768831464E-2</v>
      </c>
      <c r="AT10" s="52">
        <f t="shared" si="30"/>
        <v>594510.4242393102</v>
      </c>
      <c r="AU10" s="79">
        <f t="shared" si="31"/>
        <v>0</v>
      </c>
      <c r="AV10" s="75" t="s">
        <v>8</v>
      </c>
      <c r="AW10" s="30" t="s">
        <v>8</v>
      </c>
      <c r="AX10" s="35">
        <f t="shared" si="32"/>
        <v>0.37944953973238166</v>
      </c>
      <c r="AY10" s="33">
        <f t="shared" si="33"/>
        <v>4.4956955768831464E-2</v>
      </c>
      <c r="AZ10" s="52">
        <f t="shared" si="34"/>
        <v>594510.4242393102</v>
      </c>
      <c r="BA10" s="79">
        <f t="shared" si="35"/>
        <v>0</v>
      </c>
      <c r="BB10" s="75" t="s">
        <v>8</v>
      </c>
      <c r="BC10" s="30" t="s">
        <v>8</v>
      </c>
      <c r="BD10" s="35">
        <f t="shared" si="36"/>
        <v>0.37944953973238166</v>
      </c>
      <c r="BE10" s="33">
        <f t="shared" si="37"/>
        <v>4.4956955768831464E-2</v>
      </c>
      <c r="BF10" s="52">
        <f t="shared" si="38"/>
        <v>594510.4242393102</v>
      </c>
      <c r="BG10" s="79">
        <f t="shared" si="39"/>
        <v>0</v>
      </c>
      <c r="BH10" s="75" t="s">
        <v>8</v>
      </c>
      <c r="BI10" s="30" t="s">
        <v>8</v>
      </c>
      <c r="BJ10" s="35">
        <f t="shared" si="40"/>
        <v>0.37944953973238166</v>
      </c>
      <c r="BK10" s="33">
        <f t="shared" si="41"/>
        <v>4.4956955768831464E-2</v>
      </c>
      <c r="BL10" s="52">
        <f t="shared" si="42"/>
        <v>594510.4242393102</v>
      </c>
      <c r="BM10" s="79">
        <f t="shared" si="43"/>
        <v>0</v>
      </c>
      <c r="BN10" s="75" t="s">
        <v>8</v>
      </c>
      <c r="BO10" s="30" t="s">
        <v>8</v>
      </c>
      <c r="BP10" s="35">
        <f t="shared" si="44"/>
        <v>0.37944953973238166</v>
      </c>
      <c r="BQ10" s="33">
        <f t="shared" si="45"/>
        <v>4.4956955768831464E-2</v>
      </c>
      <c r="BR10" s="52">
        <f t="shared" si="46"/>
        <v>594510.4242393102</v>
      </c>
      <c r="BS10" s="114">
        <f t="shared" si="47"/>
        <v>0</v>
      </c>
      <c r="BT10" s="75" t="s">
        <v>8</v>
      </c>
      <c r="BU10" s="30" t="s">
        <v>8</v>
      </c>
      <c r="BV10" s="35">
        <f t="shared" ref="BV10:BV21" si="125">(((H10+L10+Q10+W10+AC10+AI10+AO10+AU10+BA10+BG10+BM10+BS10)/G10)/$J$30)/I10</f>
        <v>0.37944953973238166</v>
      </c>
      <c r="BW10" s="33">
        <f t="shared" si="48"/>
        <v>4.4956955768831464E-2</v>
      </c>
      <c r="BX10" s="52">
        <f t="shared" si="49"/>
        <v>594510.4242393102</v>
      </c>
      <c r="BY10" s="114">
        <f t="shared" si="50"/>
        <v>0</v>
      </c>
      <c r="BZ10" s="75" t="s">
        <v>8</v>
      </c>
      <c r="CA10" s="30" t="s">
        <v>8</v>
      </c>
      <c r="CB10" s="35">
        <f t="shared" ref="CB10:CB21" si="126">(((H10+L10+Q10+W10+AC10+AI10+AO10+AU10+BA10+BG10+BM10+BS10+BY10)/G10)/$J$30)/I10</f>
        <v>0.37944953973238166</v>
      </c>
      <c r="CC10" s="33">
        <f t="shared" si="51"/>
        <v>4.4956955768831464E-2</v>
      </c>
      <c r="CD10" s="52">
        <f t="shared" si="52"/>
        <v>594510.4242393102</v>
      </c>
      <c r="CE10" s="114">
        <f t="shared" si="53"/>
        <v>0</v>
      </c>
      <c r="CF10" s="75" t="s">
        <v>8</v>
      </c>
      <c r="CG10" s="30" t="s">
        <v>8</v>
      </c>
      <c r="CH10" s="35">
        <f t="shared" si="54"/>
        <v>0.37944953973238166</v>
      </c>
      <c r="CI10" s="33">
        <f t="shared" si="55"/>
        <v>4.4956955768831464E-2</v>
      </c>
      <c r="CJ10" s="52">
        <f t="shared" si="56"/>
        <v>594510.4242393102</v>
      </c>
      <c r="CK10" s="114">
        <f t="shared" si="57"/>
        <v>0</v>
      </c>
      <c r="CL10" s="75" t="s">
        <v>8</v>
      </c>
      <c r="CM10" s="30" t="s">
        <v>8</v>
      </c>
      <c r="CN10" s="35">
        <f t="shared" ref="CN10:CN21" si="127">(((H10+L10+Q10+W10+AC10+AI10+AO10+AU10+BA10+BG10+BM10+BS10+BY10+CE10+CK10)/G10)/$J$30)/I10</f>
        <v>0.37944953973238166</v>
      </c>
      <c r="CO10" s="33">
        <f t="shared" si="58"/>
        <v>4.4956955768831464E-2</v>
      </c>
      <c r="CP10" s="52">
        <f t="shared" si="59"/>
        <v>594510.4242393102</v>
      </c>
      <c r="CQ10" s="114">
        <f t="shared" si="60"/>
        <v>0</v>
      </c>
      <c r="CR10" s="75" t="s">
        <v>8</v>
      </c>
      <c r="CS10" s="30" t="s">
        <v>8</v>
      </c>
      <c r="CT10" s="35">
        <f t="shared" ref="CT10:CT21" si="128">(((H10+L10+Q10+W10+AC10+AI10+AO10+AU10+BA10+BG10+BM10+BS10+BY10+CE10+CK10+CQ10)/G10)/$J$30)/I10</f>
        <v>0.37944953973238166</v>
      </c>
      <c r="CU10" s="33">
        <f t="shared" si="61"/>
        <v>4.4956955768831464E-2</v>
      </c>
      <c r="CV10" s="52">
        <f t="shared" si="62"/>
        <v>594510.4242393102</v>
      </c>
      <c r="CW10" s="114">
        <f t="shared" si="63"/>
        <v>0</v>
      </c>
      <c r="CX10" s="75" t="s">
        <v>8</v>
      </c>
      <c r="CY10" s="30" t="s">
        <v>8</v>
      </c>
      <c r="CZ10" s="35">
        <f t="shared" ref="CZ10:CZ21" si="129">(((H10+L10+Q10+W10+AC10+AI10+AO10+AU10+BA10+BG10+BM10+BS10+BY10+CE10+CK10+CQ10+CW10)/G10)/$J$30)/I10</f>
        <v>0.37944953973238166</v>
      </c>
      <c r="DA10" s="33">
        <f t="shared" si="64"/>
        <v>4.4956955768831464E-2</v>
      </c>
      <c r="DB10" s="52">
        <f t="shared" si="65"/>
        <v>594510.4242393102</v>
      </c>
      <c r="DC10" s="114">
        <f t="shared" si="66"/>
        <v>0</v>
      </c>
      <c r="DD10" s="75" t="s">
        <v>8</v>
      </c>
      <c r="DE10" s="30" t="s">
        <v>8</v>
      </c>
      <c r="DF10" s="35">
        <f t="shared" ref="DF10:DF21" si="130">(((H10+L10+Q10+W10+AC10+AI10+AO10+AU10+BA10+BG10+BM10+BS10+BY10+CE10+CK10+CQ10+CW10+DC10)/G10)/$J$30)/I10</f>
        <v>0.37944953973238166</v>
      </c>
      <c r="DG10" s="33">
        <f t="shared" si="67"/>
        <v>4.4956955768831464E-2</v>
      </c>
      <c r="DH10" s="52">
        <f t="shared" si="68"/>
        <v>594510.4242393102</v>
      </c>
      <c r="DI10" s="114">
        <f t="shared" si="69"/>
        <v>0</v>
      </c>
      <c r="DJ10" s="75" t="s">
        <v>8</v>
      </c>
      <c r="DK10" s="30" t="s">
        <v>8</v>
      </c>
      <c r="DL10" s="35">
        <f t="shared" ref="DL10:DL21" si="131">(((H10+L10+Q10+W10+AC10+AI10+AO10+AU10+BA10+BG10+BM10+BS10+BY10+CE10+CK10+CQ10+CW10+DC10+DI10)/G10)/$J$30)/I10</f>
        <v>0.37944953973238166</v>
      </c>
      <c r="DM10" s="33">
        <f t="shared" si="70"/>
        <v>4.4956955768831464E-2</v>
      </c>
      <c r="DN10" s="52">
        <f t="shared" si="71"/>
        <v>594510.4242393102</v>
      </c>
      <c r="DO10" s="114">
        <f t="shared" si="72"/>
        <v>0</v>
      </c>
      <c r="DP10" s="75" t="s">
        <v>8</v>
      </c>
      <c r="DQ10" s="30" t="s">
        <v>8</v>
      </c>
      <c r="DR10" s="35">
        <f t="shared" ref="DR10:DR21" si="132">(((H10+L10+Q10+W10+AC10+AI10+AO10+AU10+BA10+BG10+BM10+BS10+BY10+CE10+CK10+CQ10+CW10+DC10+DI10+DO10)/G10)/$J$30)/I10</f>
        <v>0.37944953973238166</v>
      </c>
      <c r="DS10" s="33">
        <f t="shared" si="73"/>
        <v>4.4956955768831464E-2</v>
      </c>
      <c r="DT10" s="52">
        <f t="shared" si="74"/>
        <v>594510.4242393102</v>
      </c>
      <c r="DU10" s="114">
        <f t="shared" si="75"/>
        <v>0</v>
      </c>
      <c r="DV10" s="75" t="s">
        <v>8</v>
      </c>
      <c r="DW10" s="30" t="s">
        <v>8</v>
      </c>
      <c r="DX10" s="35">
        <f t="shared" si="76"/>
        <v>0.37944953973238166</v>
      </c>
      <c r="DY10" s="33">
        <f t="shared" si="77"/>
        <v>4.4956955768831464E-2</v>
      </c>
      <c r="DZ10" s="34">
        <f t="shared" si="78"/>
        <v>594510.4242393102</v>
      </c>
      <c r="EA10" s="79">
        <f t="shared" si="79"/>
        <v>0</v>
      </c>
      <c r="EB10" s="75" t="s">
        <v>8</v>
      </c>
      <c r="EC10" s="30" t="s">
        <v>8</v>
      </c>
      <c r="ED10" s="35">
        <f t="shared" si="80"/>
        <v>0.37944953973238166</v>
      </c>
      <c r="EE10" s="33">
        <f t="shared" si="81"/>
        <v>4.4956955768831464E-2</v>
      </c>
      <c r="EF10" s="34">
        <f t="shared" si="82"/>
        <v>594510.4242393102</v>
      </c>
      <c r="EG10" s="79">
        <f t="shared" si="83"/>
        <v>0</v>
      </c>
      <c r="EH10" s="75" t="s">
        <v>8</v>
      </c>
      <c r="EI10" s="30" t="s">
        <v>8</v>
      </c>
      <c r="EJ10" s="35">
        <f t="shared" si="84"/>
        <v>0.37944953973238166</v>
      </c>
      <c r="EK10" s="33">
        <f t="shared" si="85"/>
        <v>4.4956955768831464E-2</v>
      </c>
      <c r="EL10" s="34">
        <f t="shared" si="86"/>
        <v>594510.4242393102</v>
      </c>
      <c r="EM10" s="79">
        <f t="shared" si="87"/>
        <v>0</v>
      </c>
      <c r="EN10" s="75" t="s">
        <v>8</v>
      </c>
      <c r="EO10" s="30" t="s">
        <v>8</v>
      </c>
      <c r="EP10" s="35">
        <f t="shared" si="88"/>
        <v>0.37944953973238166</v>
      </c>
      <c r="EQ10" s="33">
        <f t="shared" si="89"/>
        <v>4.4956955768831464E-2</v>
      </c>
      <c r="ER10" s="34">
        <f t="shared" si="90"/>
        <v>594510.4242393102</v>
      </c>
      <c r="ES10" s="79">
        <f t="shared" si="91"/>
        <v>0</v>
      </c>
      <c r="ET10" s="75" t="s">
        <v>8</v>
      </c>
      <c r="EU10" s="30" t="s">
        <v>8</v>
      </c>
      <c r="EV10" s="35">
        <f t="shared" si="92"/>
        <v>0.37944953973238166</v>
      </c>
      <c r="EW10" s="33">
        <f t="shared" si="93"/>
        <v>4.4956955768831464E-2</v>
      </c>
      <c r="EX10" s="34">
        <f t="shared" si="94"/>
        <v>594510.4242393102</v>
      </c>
      <c r="EY10" s="79">
        <f t="shared" si="95"/>
        <v>0</v>
      </c>
      <c r="EZ10" s="75" t="s">
        <v>8</v>
      </c>
      <c r="FA10" s="30" t="s">
        <v>8</v>
      </c>
      <c r="FB10" s="35">
        <f t="shared" si="96"/>
        <v>0.37944953973238166</v>
      </c>
      <c r="FC10" s="33">
        <f t="shared" si="97"/>
        <v>4.4956955768831464E-2</v>
      </c>
      <c r="FD10" s="34">
        <f t="shared" si="98"/>
        <v>594510.4242393102</v>
      </c>
      <c r="FE10" s="79">
        <f t="shared" si="99"/>
        <v>0</v>
      </c>
      <c r="FF10" s="75" t="s">
        <v>8</v>
      </c>
      <c r="FG10" s="30" t="s">
        <v>8</v>
      </c>
      <c r="FH10" s="35">
        <f t="shared" si="100"/>
        <v>0.37944953973238166</v>
      </c>
      <c r="FI10" s="33">
        <f t="shared" si="101"/>
        <v>4.4956955768831464E-2</v>
      </c>
      <c r="FJ10" s="34">
        <f t="shared" si="102"/>
        <v>594510.4242393102</v>
      </c>
      <c r="FK10" s="79">
        <f t="shared" si="103"/>
        <v>0</v>
      </c>
      <c r="FL10" s="75" t="s">
        <v>8</v>
      </c>
      <c r="FM10" s="30" t="s">
        <v>8</v>
      </c>
      <c r="FN10" s="35">
        <f t="shared" si="104"/>
        <v>0.37944953973238166</v>
      </c>
      <c r="FO10" s="33">
        <f t="shared" si="105"/>
        <v>4.4956955768831464E-2</v>
      </c>
      <c r="FP10" s="34">
        <f t="shared" si="106"/>
        <v>594510.4242393102</v>
      </c>
      <c r="FQ10" s="79">
        <f t="shared" si="107"/>
        <v>0</v>
      </c>
      <c r="FR10" s="75" t="s">
        <v>8</v>
      </c>
      <c r="FS10" s="30" t="s">
        <v>8</v>
      </c>
      <c r="FT10" s="35">
        <f t="shared" si="108"/>
        <v>0.37944953973238166</v>
      </c>
      <c r="FU10" s="33">
        <f t="shared" si="109"/>
        <v>4.4956955768831464E-2</v>
      </c>
      <c r="FV10" s="34">
        <f t="shared" si="110"/>
        <v>594510.4242393102</v>
      </c>
      <c r="FW10" s="79">
        <f t="shared" si="111"/>
        <v>0</v>
      </c>
      <c r="FX10" s="75" t="s">
        <v>8</v>
      </c>
      <c r="FY10" s="30" t="s">
        <v>8</v>
      </c>
      <c r="FZ10" s="35">
        <f t="shared" si="112"/>
        <v>0.37944953973238166</v>
      </c>
      <c r="GA10" s="33">
        <f t="shared" si="113"/>
        <v>4.4956955768831464E-2</v>
      </c>
      <c r="GB10" s="34">
        <f t="shared" si="114"/>
        <v>594510.4242393102</v>
      </c>
      <c r="GC10" s="79">
        <f t="shared" si="115"/>
        <v>0</v>
      </c>
      <c r="GD10" s="75" t="s">
        <v>8</v>
      </c>
      <c r="GE10" s="30" t="s">
        <v>8</v>
      </c>
      <c r="GF10" s="35">
        <f t="shared" si="116"/>
        <v>0.37944953973238166</v>
      </c>
      <c r="GG10" s="33">
        <f t="shared" si="117"/>
        <v>4.4956955768831464E-2</v>
      </c>
      <c r="GH10" s="34">
        <f t="shared" si="118"/>
        <v>594510.4242393102</v>
      </c>
      <c r="GI10" s="114">
        <f t="shared" si="119"/>
        <v>0</v>
      </c>
      <c r="GJ10" s="152">
        <f t="shared" ref="GJ10:GJ29" si="133">Q10+W10+AC10+AI10+AO10+AU10+BA10+BG10+BM10+BS10+BY10+CE10+CK10+CQ10+CW10+DC10+DI10+DO10+DU10+EA10+EG10+EM10+ES10+EY10+FE10+FK10+FQ10+FW10+GC10+GI10</f>
        <v>1512613.00065833</v>
      </c>
      <c r="GK10" s="87">
        <f t="shared" si="120"/>
        <v>1794355.988437586</v>
      </c>
      <c r="GL10" s="194">
        <f t="shared" si="121"/>
        <v>0.37944953973238171</v>
      </c>
      <c r="GM10" s="197"/>
      <c r="GN10" s="203">
        <v>1794355.99</v>
      </c>
      <c r="GO10" s="197"/>
      <c r="GP10" s="203">
        <v>1815480.43</v>
      </c>
      <c r="GQ10" s="197">
        <f t="shared" si="122"/>
        <v>-21124.441562413936</v>
      </c>
      <c r="GR10" s="224">
        <f t="shared" si="123"/>
        <v>-1.163573080345131</v>
      </c>
    </row>
    <row r="11" spans="1:200" s="25" customFormat="1" x14ac:dyDescent="0.2">
      <c r="A11" s="171" t="s">
        <v>180</v>
      </c>
      <c r="B11" s="140" t="s">
        <v>8</v>
      </c>
      <c r="C11" s="140" t="s">
        <v>8</v>
      </c>
      <c r="D11" s="140" t="s">
        <v>8</v>
      </c>
      <c r="E11" s="140" t="s">
        <v>8</v>
      </c>
      <c r="F11" s="140" t="s">
        <v>8</v>
      </c>
      <c r="G11" s="96">
        <f>'Исходные данные'!C13</f>
        <v>309</v>
      </c>
      <c r="H11" s="31">
        <f>'Исходные данные'!D13</f>
        <v>406184.23</v>
      </c>
      <c r="I11" s="32">
        <f>'Расчет КРП'!G9</f>
        <v>15.383974345619102</v>
      </c>
      <c r="J11" s="103" t="s">
        <v>8</v>
      </c>
      <c r="K11" s="107">
        <f t="shared" si="124"/>
        <v>5.6317402790436691E-2</v>
      </c>
      <c r="L11" s="76">
        <f t="shared" si="7"/>
        <v>242503.01733646265</v>
      </c>
      <c r="M11" s="72">
        <f t="shared" si="8"/>
        <v>8.9940421845691065E-2</v>
      </c>
      <c r="N11" s="30" t="s">
        <v>8</v>
      </c>
      <c r="O11" s="33">
        <f t="shared" si="9"/>
        <v>8.1826509286885424E-2</v>
      </c>
      <c r="P11" s="34">
        <f t="shared" si="10"/>
        <v>895433.28009248967</v>
      </c>
      <c r="Q11" s="79">
        <f t="shared" si="11"/>
        <v>895433.28009248967</v>
      </c>
      <c r="R11" s="145" t="s">
        <v>8</v>
      </c>
      <c r="S11" s="30" t="s">
        <v>8</v>
      </c>
      <c r="T11" s="35">
        <f t="shared" si="12"/>
        <v>0.21409215640941517</v>
      </c>
      <c r="U11" s="33">
        <f t="shared" si="13"/>
        <v>6.1518552264653831E-2</v>
      </c>
      <c r="V11" s="52">
        <f t="shared" si="14"/>
        <v>836614.4745428696</v>
      </c>
      <c r="W11" s="79">
        <f t="shared" si="15"/>
        <v>836614.4745428696</v>
      </c>
      <c r="X11" s="75" t="s">
        <v>8</v>
      </c>
      <c r="Y11" s="30" t="s">
        <v>8</v>
      </c>
      <c r="Z11" s="35">
        <f t="shared" si="16"/>
        <v>0.33008866947724236</v>
      </c>
      <c r="AA11" s="33">
        <f t="shared" si="17"/>
        <v>4.7834211394831294E-2</v>
      </c>
      <c r="AB11" s="52">
        <f t="shared" si="18"/>
        <v>797117.79336671147</v>
      </c>
      <c r="AC11" s="79">
        <f t="shared" si="19"/>
        <v>356691.57492726692</v>
      </c>
      <c r="AD11" s="75" t="s">
        <v>8</v>
      </c>
      <c r="AE11" s="30" t="s">
        <v>8</v>
      </c>
      <c r="AF11" s="35">
        <f t="shared" si="20"/>
        <v>0.37954392060093595</v>
      </c>
      <c r="AG11" s="33">
        <f t="shared" si="21"/>
        <v>4.4862574900277175E-2</v>
      </c>
      <c r="AH11" s="52">
        <f t="shared" si="22"/>
        <v>801758.80144101172</v>
      </c>
      <c r="AI11" s="79">
        <f t="shared" si="23"/>
        <v>0</v>
      </c>
      <c r="AJ11" s="75" t="s">
        <v>8</v>
      </c>
      <c r="AK11" s="30" t="s">
        <v>8</v>
      </c>
      <c r="AL11" s="35">
        <f t="shared" si="24"/>
        <v>0.37954392060093595</v>
      </c>
      <c r="AM11" s="33">
        <f t="shared" si="25"/>
        <v>4.4862574900277175E-2</v>
      </c>
      <c r="AN11" s="52">
        <f t="shared" si="26"/>
        <v>801758.80144101172</v>
      </c>
      <c r="AO11" s="79">
        <f t="shared" si="27"/>
        <v>0</v>
      </c>
      <c r="AP11" s="75" t="s">
        <v>8</v>
      </c>
      <c r="AQ11" s="30" t="s">
        <v>8</v>
      </c>
      <c r="AR11" s="35">
        <f t="shared" si="28"/>
        <v>0.37954392060093595</v>
      </c>
      <c r="AS11" s="33">
        <f t="shared" si="29"/>
        <v>4.4862574900277175E-2</v>
      </c>
      <c r="AT11" s="52">
        <f t="shared" si="30"/>
        <v>801758.80144101172</v>
      </c>
      <c r="AU11" s="79">
        <f t="shared" si="31"/>
        <v>0</v>
      </c>
      <c r="AV11" s="75" t="s">
        <v>8</v>
      </c>
      <c r="AW11" s="30" t="s">
        <v>8</v>
      </c>
      <c r="AX11" s="35">
        <f t="shared" si="32"/>
        <v>0.37954392060093595</v>
      </c>
      <c r="AY11" s="33">
        <f t="shared" si="33"/>
        <v>4.4862574900277175E-2</v>
      </c>
      <c r="AZ11" s="52">
        <f t="shared" si="34"/>
        <v>801758.80144101172</v>
      </c>
      <c r="BA11" s="79">
        <f t="shared" si="35"/>
        <v>0</v>
      </c>
      <c r="BB11" s="75" t="s">
        <v>8</v>
      </c>
      <c r="BC11" s="30" t="s">
        <v>8</v>
      </c>
      <c r="BD11" s="35">
        <f t="shared" si="36"/>
        <v>0.37954392060093595</v>
      </c>
      <c r="BE11" s="33">
        <f t="shared" si="37"/>
        <v>4.4862574900277175E-2</v>
      </c>
      <c r="BF11" s="52">
        <f t="shared" si="38"/>
        <v>801758.80144101172</v>
      </c>
      <c r="BG11" s="79">
        <f t="shared" si="39"/>
        <v>0</v>
      </c>
      <c r="BH11" s="75" t="s">
        <v>8</v>
      </c>
      <c r="BI11" s="30" t="s">
        <v>8</v>
      </c>
      <c r="BJ11" s="35">
        <f t="shared" si="40"/>
        <v>0.37954392060093595</v>
      </c>
      <c r="BK11" s="33">
        <f t="shared" si="41"/>
        <v>4.4862574900277175E-2</v>
      </c>
      <c r="BL11" s="52">
        <f t="shared" si="42"/>
        <v>801758.80144101172</v>
      </c>
      <c r="BM11" s="79">
        <f t="shared" si="43"/>
        <v>0</v>
      </c>
      <c r="BN11" s="75" t="s">
        <v>8</v>
      </c>
      <c r="BO11" s="30" t="s">
        <v>8</v>
      </c>
      <c r="BP11" s="35">
        <f t="shared" si="44"/>
        <v>0.37954392060093595</v>
      </c>
      <c r="BQ11" s="33">
        <f t="shared" si="45"/>
        <v>4.4862574900277175E-2</v>
      </c>
      <c r="BR11" s="52">
        <f t="shared" si="46"/>
        <v>801758.80144101172</v>
      </c>
      <c r="BS11" s="114">
        <f t="shared" si="47"/>
        <v>0</v>
      </c>
      <c r="BT11" s="75" t="s">
        <v>8</v>
      </c>
      <c r="BU11" s="30" t="s">
        <v>8</v>
      </c>
      <c r="BV11" s="35">
        <f t="shared" si="125"/>
        <v>0.37954392060093595</v>
      </c>
      <c r="BW11" s="33">
        <f t="shared" si="48"/>
        <v>4.4862574900277175E-2</v>
      </c>
      <c r="BX11" s="52">
        <f t="shared" si="49"/>
        <v>801758.80144101172</v>
      </c>
      <c r="BY11" s="114">
        <f t="shared" si="50"/>
        <v>0</v>
      </c>
      <c r="BZ11" s="75" t="s">
        <v>8</v>
      </c>
      <c r="CA11" s="30" t="s">
        <v>8</v>
      </c>
      <c r="CB11" s="35">
        <f t="shared" si="126"/>
        <v>0.37954392060093595</v>
      </c>
      <c r="CC11" s="33">
        <f t="shared" si="51"/>
        <v>4.4862574900277175E-2</v>
      </c>
      <c r="CD11" s="52">
        <f t="shared" si="52"/>
        <v>801758.80144101172</v>
      </c>
      <c r="CE11" s="114">
        <f t="shared" si="53"/>
        <v>0</v>
      </c>
      <c r="CF11" s="75" t="s">
        <v>8</v>
      </c>
      <c r="CG11" s="30" t="s">
        <v>8</v>
      </c>
      <c r="CH11" s="35">
        <f t="shared" si="54"/>
        <v>0.37954392060093595</v>
      </c>
      <c r="CI11" s="33">
        <f t="shared" si="55"/>
        <v>4.4862574900277175E-2</v>
      </c>
      <c r="CJ11" s="52">
        <f t="shared" si="56"/>
        <v>801758.80144101172</v>
      </c>
      <c r="CK11" s="114">
        <f t="shared" si="57"/>
        <v>0</v>
      </c>
      <c r="CL11" s="75" t="s">
        <v>8</v>
      </c>
      <c r="CM11" s="30" t="s">
        <v>8</v>
      </c>
      <c r="CN11" s="35">
        <f t="shared" si="127"/>
        <v>0.37954392060093595</v>
      </c>
      <c r="CO11" s="33">
        <f t="shared" si="58"/>
        <v>4.4862574900277175E-2</v>
      </c>
      <c r="CP11" s="52">
        <f t="shared" si="59"/>
        <v>801758.80144101172</v>
      </c>
      <c r="CQ11" s="114">
        <f t="shared" si="60"/>
        <v>0</v>
      </c>
      <c r="CR11" s="75" t="s">
        <v>8</v>
      </c>
      <c r="CS11" s="30" t="s">
        <v>8</v>
      </c>
      <c r="CT11" s="35">
        <f t="shared" si="128"/>
        <v>0.37954392060093595</v>
      </c>
      <c r="CU11" s="33">
        <f t="shared" si="61"/>
        <v>4.4862574900277175E-2</v>
      </c>
      <c r="CV11" s="52">
        <f t="shared" si="62"/>
        <v>801758.80144101172</v>
      </c>
      <c r="CW11" s="114">
        <f t="shared" si="63"/>
        <v>0</v>
      </c>
      <c r="CX11" s="75" t="s">
        <v>8</v>
      </c>
      <c r="CY11" s="30" t="s">
        <v>8</v>
      </c>
      <c r="CZ11" s="35">
        <f t="shared" si="129"/>
        <v>0.37954392060093595</v>
      </c>
      <c r="DA11" s="33">
        <f t="shared" si="64"/>
        <v>4.4862574900277175E-2</v>
      </c>
      <c r="DB11" s="52">
        <f t="shared" si="65"/>
        <v>801758.80144101172</v>
      </c>
      <c r="DC11" s="114">
        <f t="shared" si="66"/>
        <v>0</v>
      </c>
      <c r="DD11" s="75" t="s">
        <v>8</v>
      </c>
      <c r="DE11" s="30" t="s">
        <v>8</v>
      </c>
      <c r="DF11" s="35">
        <f t="shared" si="130"/>
        <v>0.37954392060093595</v>
      </c>
      <c r="DG11" s="33">
        <f t="shared" si="67"/>
        <v>4.4862574900277175E-2</v>
      </c>
      <c r="DH11" s="52">
        <f t="shared" si="68"/>
        <v>801758.80144101172</v>
      </c>
      <c r="DI11" s="114">
        <f t="shared" si="69"/>
        <v>0</v>
      </c>
      <c r="DJ11" s="75" t="s">
        <v>8</v>
      </c>
      <c r="DK11" s="30" t="s">
        <v>8</v>
      </c>
      <c r="DL11" s="35">
        <f t="shared" si="131"/>
        <v>0.37954392060093595</v>
      </c>
      <c r="DM11" s="33">
        <f t="shared" si="70"/>
        <v>4.4862574900277175E-2</v>
      </c>
      <c r="DN11" s="52">
        <f t="shared" si="71"/>
        <v>801758.80144101172</v>
      </c>
      <c r="DO11" s="114">
        <f t="shared" si="72"/>
        <v>0</v>
      </c>
      <c r="DP11" s="75" t="s">
        <v>8</v>
      </c>
      <c r="DQ11" s="30" t="s">
        <v>8</v>
      </c>
      <c r="DR11" s="35">
        <f t="shared" si="132"/>
        <v>0.37954392060093595</v>
      </c>
      <c r="DS11" s="33">
        <f t="shared" si="73"/>
        <v>4.4862574900277175E-2</v>
      </c>
      <c r="DT11" s="52">
        <f t="shared" si="74"/>
        <v>801758.80144101172</v>
      </c>
      <c r="DU11" s="114">
        <f t="shared" si="75"/>
        <v>0</v>
      </c>
      <c r="DV11" s="75" t="s">
        <v>8</v>
      </c>
      <c r="DW11" s="30" t="s">
        <v>8</v>
      </c>
      <c r="DX11" s="35">
        <f t="shared" si="76"/>
        <v>0.37954392060093595</v>
      </c>
      <c r="DY11" s="33">
        <f t="shared" si="77"/>
        <v>4.4862574900277175E-2</v>
      </c>
      <c r="DZ11" s="34">
        <f t="shared" si="78"/>
        <v>801758.80144101172</v>
      </c>
      <c r="EA11" s="79">
        <f t="shared" si="79"/>
        <v>0</v>
      </c>
      <c r="EB11" s="75" t="s">
        <v>8</v>
      </c>
      <c r="EC11" s="30" t="s">
        <v>8</v>
      </c>
      <c r="ED11" s="35">
        <f t="shared" si="80"/>
        <v>0.37954392060093595</v>
      </c>
      <c r="EE11" s="33">
        <f t="shared" si="81"/>
        <v>4.4862574900277175E-2</v>
      </c>
      <c r="EF11" s="34">
        <f t="shared" si="82"/>
        <v>801758.80144101172</v>
      </c>
      <c r="EG11" s="79">
        <f t="shared" si="83"/>
        <v>0</v>
      </c>
      <c r="EH11" s="75" t="s">
        <v>8</v>
      </c>
      <c r="EI11" s="30" t="s">
        <v>8</v>
      </c>
      <c r="EJ11" s="35">
        <f t="shared" si="84"/>
        <v>0.37954392060093595</v>
      </c>
      <c r="EK11" s="33">
        <f t="shared" si="85"/>
        <v>4.4862574900277175E-2</v>
      </c>
      <c r="EL11" s="34">
        <f t="shared" si="86"/>
        <v>801758.80144101172</v>
      </c>
      <c r="EM11" s="79">
        <f t="shared" si="87"/>
        <v>0</v>
      </c>
      <c r="EN11" s="75" t="s">
        <v>8</v>
      </c>
      <c r="EO11" s="30" t="s">
        <v>8</v>
      </c>
      <c r="EP11" s="35">
        <f t="shared" si="88"/>
        <v>0.37954392060093595</v>
      </c>
      <c r="EQ11" s="33">
        <f t="shared" si="89"/>
        <v>4.4862574900277175E-2</v>
      </c>
      <c r="ER11" s="34">
        <f t="shared" si="90"/>
        <v>801758.80144101172</v>
      </c>
      <c r="ES11" s="79">
        <f t="shared" si="91"/>
        <v>0</v>
      </c>
      <c r="ET11" s="75" t="s">
        <v>8</v>
      </c>
      <c r="EU11" s="30" t="s">
        <v>8</v>
      </c>
      <c r="EV11" s="35">
        <f t="shared" si="92"/>
        <v>0.37954392060093595</v>
      </c>
      <c r="EW11" s="33">
        <f t="shared" si="93"/>
        <v>4.4862574900277175E-2</v>
      </c>
      <c r="EX11" s="34">
        <f t="shared" si="94"/>
        <v>801758.80144101172</v>
      </c>
      <c r="EY11" s="79">
        <f t="shared" si="95"/>
        <v>0</v>
      </c>
      <c r="EZ11" s="75" t="s">
        <v>8</v>
      </c>
      <c r="FA11" s="30" t="s">
        <v>8</v>
      </c>
      <c r="FB11" s="35">
        <f t="shared" si="96"/>
        <v>0.37954392060093595</v>
      </c>
      <c r="FC11" s="33">
        <f t="shared" si="97"/>
        <v>4.4862574900277175E-2</v>
      </c>
      <c r="FD11" s="34">
        <f t="shared" si="98"/>
        <v>801758.80144101172</v>
      </c>
      <c r="FE11" s="79">
        <f t="shared" si="99"/>
        <v>0</v>
      </c>
      <c r="FF11" s="75" t="s">
        <v>8</v>
      </c>
      <c r="FG11" s="30" t="s">
        <v>8</v>
      </c>
      <c r="FH11" s="35">
        <f t="shared" si="100"/>
        <v>0.37954392060093595</v>
      </c>
      <c r="FI11" s="33">
        <f t="shared" si="101"/>
        <v>4.4862574900277175E-2</v>
      </c>
      <c r="FJ11" s="34">
        <f t="shared" si="102"/>
        <v>801758.80144101172</v>
      </c>
      <c r="FK11" s="79">
        <f t="shared" si="103"/>
        <v>0</v>
      </c>
      <c r="FL11" s="75" t="s">
        <v>8</v>
      </c>
      <c r="FM11" s="30" t="s">
        <v>8</v>
      </c>
      <c r="FN11" s="35">
        <f t="shared" si="104"/>
        <v>0.37954392060093595</v>
      </c>
      <c r="FO11" s="33">
        <f t="shared" si="105"/>
        <v>4.4862574900277175E-2</v>
      </c>
      <c r="FP11" s="34">
        <f t="shared" si="106"/>
        <v>801758.80144101172</v>
      </c>
      <c r="FQ11" s="79">
        <f t="shared" si="107"/>
        <v>0</v>
      </c>
      <c r="FR11" s="75" t="s">
        <v>8</v>
      </c>
      <c r="FS11" s="30" t="s">
        <v>8</v>
      </c>
      <c r="FT11" s="35">
        <f t="shared" si="108"/>
        <v>0.37954392060093595</v>
      </c>
      <c r="FU11" s="33">
        <f t="shared" si="109"/>
        <v>4.4862574900277175E-2</v>
      </c>
      <c r="FV11" s="34">
        <f t="shared" si="110"/>
        <v>801758.80144101172</v>
      </c>
      <c r="FW11" s="79">
        <f t="shared" si="111"/>
        <v>0</v>
      </c>
      <c r="FX11" s="75" t="s">
        <v>8</v>
      </c>
      <c r="FY11" s="30" t="s">
        <v>8</v>
      </c>
      <c r="FZ11" s="35">
        <f t="shared" si="112"/>
        <v>0.37954392060093595</v>
      </c>
      <c r="GA11" s="33">
        <f t="shared" si="113"/>
        <v>4.4862574900277175E-2</v>
      </c>
      <c r="GB11" s="34">
        <f t="shared" si="114"/>
        <v>801758.80144101172</v>
      </c>
      <c r="GC11" s="79">
        <f t="shared" si="115"/>
        <v>0</v>
      </c>
      <c r="GD11" s="75" t="s">
        <v>8</v>
      </c>
      <c r="GE11" s="30" t="s">
        <v>8</v>
      </c>
      <c r="GF11" s="35">
        <f t="shared" si="116"/>
        <v>0.37954392060093595</v>
      </c>
      <c r="GG11" s="33">
        <f t="shared" si="117"/>
        <v>4.4862574900277175E-2</v>
      </c>
      <c r="GH11" s="34">
        <f t="shared" si="118"/>
        <v>801758.80144101172</v>
      </c>
      <c r="GI11" s="114">
        <f t="shared" si="119"/>
        <v>0</v>
      </c>
      <c r="GJ11" s="152">
        <f t="shared" si="133"/>
        <v>2088739.3295626261</v>
      </c>
      <c r="GK11" s="87">
        <f t="shared" si="120"/>
        <v>2331242.3468990889</v>
      </c>
      <c r="GL11" s="194">
        <f t="shared" si="121"/>
        <v>0.379543920600936</v>
      </c>
      <c r="GM11" s="197"/>
      <c r="GN11" s="201">
        <v>2331242.35</v>
      </c>
      <c r="GO11" s="197"/>
      <c r="GP11" s="201">
        <v>2272258.58</v>
      </c>
      <c r="GQ11" s="197">
        <f t="shared" si="122"/>
        <v>58983.766899088863</v>
      </c>
      <c r="GR11" s="224">
        <f t="shared" si="123"/>
        <v>2.59582106624012</v>
      </c>
    </row>
    <row r="12" spans="1:200" s="25" customFormat="1" x14ac:dyDescent="0.2">
      <c r="A12" s="171" t="s">
        <v>181</v>
      </c>
      <c r="B12" s="140" t="s">
        <v>8</v>
      </c>
      <c r="C12" s="140" t="s">
        <v>8</v>
      </c>
      <c r="D12" s="140" t="s">
        <v>8</v>
      </c>
      <c r="E12" s="140" t="s">
        <v>8</v>
      </c>
      <c r="F12" s="140" t="s">
        <v>8</v>
      </c>
      <c r="G12" s="96">
        <f>'Исходные данные'!C14</f>
        <v>363</v>
      </c>
      <c r="H12" s="31">
        <f>'Исходные данные'!D14</f>
        <v>364590.11</v>
      </c>
      <c r="I12" s="32">
        <f>'Расчет КРП'!G10</f>
        <v>12</v>
      </c>
      <c r="J12" s="103" t="s">
        <v>8</v>
      </c>
      <c r="K12" s="107">
        <f t="shared" si="124"/>
        <v>5.5164997020138988E-2</v>
      </c>
      <c r="L12" s="76">
        <f t="shared" si="7"/>
        <v>284882.18541467946</v>
      </c>
      <c r="M12" s="72">
        <f t="shared" si="8"/>
        <v>9.8269635567496919E-2</v>
      </c>
      <c r="N12" s="30" t="s">
        <v>8</v>
      </c>
      <c r="O12" s="33">
        <f t="shared" si="9"/>
        <v>7.3497295565079571E-2</v>
      </c>
      <c r="P12" s="34">
        <f t="shared" si="10"/>
        <v>737006.65678875102</v>
      </c>
      <c r="Q12" s="79">
        <f t="shared" si="11"/>
        <v>737006.65678875102</v>
      </c>
      <c r="R12" s="145" t="s">
        <v>8</v>
      </c>
      <c r="S12" s="30" t="s">
        <v>8</v>
      </c>
      <c r="T12" s="35">
        <f t="shared" si="12"/>
        <v>0.20978382344706956</v>
      </c>
      <c r="U12" s="33">
        <f t="shared" si="13"/>
        <v>6.5826885226999449E-2</v>
      </c>
      <c r="V12" s="52">
        <f t="shared" si="14"/>
        <v>820320.22289684264</v>
      </c>
      <c r="W12" s="79">
        <f t="shared" si="15"/>
        <v>820320.22289684264</v>
      </c>
      <c r="X12" s="75" t="s">
        <v>8</v>
      </c>
      <c r="Y12" s="30" t="s">
        <v>8</v>
      </c>
      <c r="Z12" s="35">
        <f t="shared" si="16"/>
        <v>0.33390392821805209</v>
      </c>
      <c r="AA12" s="33">
        <f t="shared" si="17"/>
        <v>4.4018952654021559E-2</v>
      </c>
      <c r="AB12" s="52">
        <f t="shared" si="18"/>
        <v>672178.21788402088</v>
      </c>
      <c r="AC12" s="79">
        <f t="shared" si="19"/>
        <v>300784.03614126076</v>
      </c>
      <c r="AD12" s="75" t="s">
        <v>8</v>
      </c>
      <c r="AE12" s="30" t="s">
        <v>8</v>
      </c>
      <c r="AF12" s="35">
        <f t="shared" si="20"/>
        <v>0.37941462640303047</v>
      </c>
      <c r="AG12" s="33">
        <f t="shared" si="21"/>
        <v>4.4991869098182646E-2</v>
      </c>
      <c r="AH12" s="52">
        <f t="shared" si="22"/>
        <v>736808.147980168</v>
      </c>
      <c r="AI12" s="79">
        <f t="shared" si="23"/>
        <v>0</v>
      </c>
      <c r="AJ12" s="75" t="s">
        <v>8</v>
      </c>
      <c r="AK12" s="30" t="s">
        <v>8</v>
      </c>
      <c r="AL12" s="35">
        <f t="shared" si="24"/>
        <v>0.37941462640303047</v>
      </c>
      <c r="AM12" s="33">
        <f t="shared" si="25"/>
        <v>4.4991869098182646E-2</v>
      </c>
      <c r="AN12" s="52">
        <f t="shared" si="26"/>
        <v>736808.147980168</v>
      </c>
      <c r="AO12" s="79">
        <f t="shared" si="27"/>
        <v>0</v>
      </c>
      <c r="AP12" s="75" t="s">
        <v>8</v>
      </c>
      <c r="AQ12" s="30" t="s">
        <v>8</v>
      </c>
      <c r="AR12" s="35">
        <f t="shared" si="28"/>
        <v>0.37941462640303047</v>
      </c>
      <c r="AS12" s="33">
        <f t="shared" si="29"/>
        <v>4.4991869098182646E-2</v>
      </c>
      <c r="AT12" s="52">
        <f t="shared" si="30"/>
        <v>736808.147980168</v>
      </c>
      <c r="AU12" s="79">
        <f t="shared" si="31"/>
        <v>0</v>
      </c>
      <c r="AV12" s="75" t="s">
        <v>8</v>
      </c>
      <c r="AW12" s="30" t="s">
        <v>8</v>
      </c>
      <c r="AX12" s="35">
        <f t="shared" si="32"/>
        <v>0.37941462640303047</v>
      </c>
      <c r="AY12" s="33">
        <f t="shared" si="33"/>
        <v>4.4991869098182646E-2</v>
      </c>
      <c r="AZ12" s="52">
        <f t="shared" si="34"/>
        <v>736808.147980168</v>
      </c>
      <c r="BA12" s="79">
        <f t="shared" si="35"/>
        <v>0</v>
      </c>
      <c r="BB12" s="75" t="s">
        <v>8</v>
      </c>
      <c r="BC12" s="30" t="s">
        <v>8</v>
      </c>
      <c r="BD12" s="35">
        <f t="shared" si="36"/>
        <v>0.37941462640303047</v>
      </c>
      <c r="BE12" s="33">
        <f t="shared" si="37"/>
        <v>4.4991869098182646E-2</v>
      </c>
      <c r="BF12" s="52">
        <f t="shared" si="38"/>
        <v>736808.147980168</v>
      </c>
      <c r="BG12" s="79">
        <f t="shared" si="39"/>
        <v>0</v>
      </c>
      <c r="BH12" s="75" t="s">
        <v>8</v>
      </c>
      <c r="BI12" s="30" t="s">
        <v>8</v>
      </c>
      <c r="BJ12" s="35">
        <f t="shared" si="40"/>
        <v>0.37941462640303047</v>
      </c>
      <c r="BK12" s="33">
        <f t="shared" si="41"/>
        <v>4.4991869098182646E-2</v>
      </c>
      <c r="BL12" s="52">
        <f t="shared" si="42"/>
        <v>736808.147980168</v>
      </c>
      <c r="BM12" s="79">
        <f t="shared" si="43"/>
        <v>0</v>
      </c>
      <c r="BN12" s="75" t="s">
        <v>8</v>
      </c>
      <c r="BO12" s="30" t="s">
        <v>8</v>
      </c>
      <c r="BP12" s="35">
        <f t="shared" si="44"/>
        <v>0.37941462640303047</v>
      </c>
      <c r="BQ12" s="33">
        <f t="shared" si="45"/>
        <v>4.4991869098182646E-2</v>
      </c>
      <c r="BR12" s="52">
        <f t="shared" si="46"/>
        <v>736808.147980168</v>
      </c>
      <c r="BS12" s="114">
        <f t="shared" si="47"/>
        <v>0</v>
      </c>
      <c r="BT12" s="75" t="s">
        <v>8</v>
      </c>
      <c r="BU12" s="30" t="s">
        <v>8</v>
      </c>
      <c r="BV12" s="35">
        <f t="shared" si="125"/>
        <v>0.37941462640303047</v>
      </c>
      <c r="BW12" s="33">
        <f t="shared" si="48"/>
        <v>4.4991869098182646E-2</v>
      </c>
      <c r="BX12" s="52">
        <f t="shared" si="49"/>
        <v>736808.147980168</v>
      </c>
      <c r="BY12" s="114">
        <f t="shared" si="50"/>
        <v>0</v>
      </c>
      <c r="BZ12" s="75" t="s">
        <v>8</v>
      </c>
      <c r="CA12" s="30" t="s">
        <v>8</v>
      </c>
      <c r="CB12" s="35">
        <f t="shared" si="126"/>
        <v>0.37941462640303047</v>
      </c>
      <c r="CC12" s="33">
        <f t="shared" si="51"/>
        <v>4.4991869098182646E-2</v>
      </c>
      <c r="CD12" s="52">
        <f t="shared" si="52"/>
        <v>736808.147980168</v>
      </c>
      <c r="CE12" s="114">
        <f t="shared" si="53"/>
        <v>0</v>
      </c>
      <c r="CF12" s="75" t="s">
        <v>8</v>
      </c>
      <c r="CG12" s="30" t="s">
        <v>8</v>
      </c>
      <c r="CH12" s="35">
        <f t="shared" si="54"/>
        <v>0.37941462640303047</v>
      </c>
      <c r="CI12" s="33">
        <f t="shared" si="55"/>
        <v>4.4991869098182646E-2</v>
      </c>
      <c r="CJ12" s="52">
        <f t="shared" si="56"/>
        <v>736808.147980168</v>
      </c>
      <c r="CK12" s="114">
        <f t="shared" si="57"/>
        <v>0</v>
      </c>
      <c r="CL12" s="75" t="s">
        <v>8</v>
      </c>
      <c r="CM12" s="30" t="s">
        <v>8</v>
      </c>
      <c r="CN12" s="35">
        <f t="shared" si="127"/>
        <v>0.37941462640303047</v>
      </c>
      <c r="CO12" s="33">
        <f t="shared" si="58"/>
        <v>4.4991869098182646E-2</v>
      </c>
      <c r="CP12" s="52">
        <f t="shared" si="59"/>
        <v>736808.147980168</v>
      </c>
      <c r="CQ12" s="114">
        <f t="shared" si="60"/>
        <v>0</v>
      </c>
      <c r="CR12" s="75" t="s">
        <v>8</v>
      </c>
      <c r="CS12" s="30" t="s">
        <v>8</v>
      </c>
      <c r="CT12" s="35">
        <f t="shared" si="128"/>
        <v>0.37941462640303047</v>
      </c>
      <c r="CU12" s="33">
        <f t="shared" si="61"/>
        <v>4.4991869098182646E-2</v>
      </c>
      <c r="CV12" s="52">
        <f t="shared" si="62"/>
        <v>736808.147980168</v>
      </c>
      <c r="CW12" s="114">
        <f t="shared" si="63"/>
        <v>0</v>
      </c>
      <c r="CX12" s="75" t="s">
        <v>8</v>
      </c>
      <c r="CY12" s="30" t="s">
        <v>8</v>
      </c>
      <c r="CZ12" s="35">
        <f t="shared" si="129"/>
        <v>0.37941462640303047</v>
      </c>
      <c r="DA12" s="33">
        <f t="shared" si="64"/>
        <v>4.4991869098182646E-2</v>
      </c>
      <c r="DB12" s="52">
        <f t="shared" si="65"/>
        <v>736808.147980168</v>
      </c>
      <c r="DC12" s="114">
        <f t="shared" si="66"/>
        <v>0</v>
      </c>
      <c r="DD12" s="75" t="s">
        <v>8</v>
      </c>
      <c r="DE12" s="30" t="s">
        <v>8</v>
      </c>
      <c r="DF12" s="35">
        <f t="shared" si="130"/>
        <v>0.37941462640303047</v>
      </c>
      <c r="DG12" s="33">
        <f t="shared" si="67"/>
        <v>4.4991869098182646E-2</v>
      </c>
      <c r="DH12" s="52">
        <f t="shared" si="68"/>
        <v>736808.147980168</v>
      </c>
      <c r="DI12" s="114">
        <f t="shared" si="69"/>
        <v>0</v>
      </c>
      <c r="DJ12" s="75" t="s">
        <v>8</v>
      </c>
      <c r="DK12" s="30" t="s">
        <v>8</v>
      </c>
      <c r="DL12" s="35">
        <f t="shared" si="131"/>
        <v>0.37941462640303047</v>
      </c>
      <c r="DM12" s="33">
        <f t="shared" si="70"/>
        <v>4.4991869098182646E-2</v>
      </c>
      <c r="DN12" s="52">
        <f t="shared" si="71"/>
        <v>736808.147980168</v>
      </c>
      <c r="DO12" s="114">
        <f t="shared" si="72"/>
        <v>0</v>
      </c>
      <c r="DP12" s="75" t="s">
        <v>8</v>
      </c>
      <c r="DQ12" s="30" t="s">
        <v>8</v>
      </c>
      <c r="DR12" s="35">
        <f t="shared" si="132"/>
        <v>0.37941462640303047</v>
      </c>
      <c r="DS12" s="33">
        <f t="shared" si="73"/>
        <v>4.4991869098182646E-2</v>
      </c>
      <c r="DT12" s="52">
        <f t="shared" si="74"/>
        <v>736808.147980168</v>
      </c>
      <c r="DU12" s="114">
        <f t="shared" si="75"/>
        <v>0</v>
      </c>
      <c r="DV12" s="75" t="s">
        <v>8</v>
      </c>
      <c r="DW12" s="30" t="s">
        <v>8</v>
      </c>
      <c r="DX12" s="35">
        <f t="shared" si="76"/>
        <v>0.37941462640303047</v>
      </c>
      <c r="DY12" s="33">
        <f t="shared" si="77"/>
        <v>4.4991869098182646E-2</v>
      </c>
      <c r="DZ12" s="34">
        <f t="shared" si="78"/>
        <v>736808.147980168</v>
      </c>
      <c r="EA12" s="79">
        <f t="shared" si="79"/>
        <v>0</v>
      </c>
      <c r="EB12" s="75" t="s">
        <v>8</v>
      </c>
      <c r="EC12" s="30" t="s">
        <v>8</v>
      </c>
      <c r="ED12" s="35">
        <f t="shared" si="80"/>
        <v>0.37941462640303047</v>
      </c>
      <c r="EE12" s="33">
        <f t="shared" si="81"/>
        <v>4.4991869098182646E-2</v>
      </c>
      <c r="EF12" s="34">
        <f t="shared" si="82"/>
        <v>736808.147980168</v>
      </c>
      <c r="EG12" s="79">
        <f t="shared" si="83"/>
        <v>0</v>
      </c>
      <c r="EH12" s="75" t="s">
        <v>8</v>
      </c>
      <c r="EI12" s="30" t="s">
        <v>8</v>
      </c>
      <c r="EJ12" s="35">
        <f t="shared" si="84"/>
        <v>0.37941462640303047</v>
      </c>
      <c r="EK12" s="33">
        <f t="shared" si="85"/>
        <v>4.4991869098182646E-2</v>
      </c>
      <c r="EL12" s="34">
        <f t="shared" si="86"/>
        <v>736808.147980168</v>
      </c>
      <c r="EM12" s="79">
        <f t="shared" si="87"/>
        <v>0</v>
      </c>
      <c r="EN12" s="75" t="s">
        <v>8</v>
      </c>
      <c r="EO12" s="30" t="s">
        <v>8</v>
      </c>
      <c r="EP12" s="35">
        <f t="shared" si="88"/>
        <v>0.37941462640303047</v>
      </c>
      <c r="EQ12" s="33">
        <f t="shared" si="89"/>
        <v>4.4991869098182646E-2</v>
      </c>
      <c r="ER12" s="34">
        <f t="shared" si="90"/>
        <v>736808.147980168</v>
      </c>
      <c r="ES12" s="79">
        <f t="shared" si="91"/>
        <v>0</v>
      </c>
      <c r="ET12" s="75" t="s">
        <v>8</v>
      </c>
      <c r="EU12" s="30" t="s">
        <v>8</v>
      </c>
      <c r="EV12" s="35">
        <f t="shared" si="92"/>
        <v>0.37941462640303047</v>
      </c>
      <c r="EW12" s="33">
        <f t="shared" si="93"/>
        <v>4.4991869098182646E-2</v>
      </c>
      <c r="EX12" s="34">
        <f t="shared" si="94"/>
        <v>736808.147980168</v>
      </c>
      <c r="EY12" s="79">
        <f t="shared" si="95"/>
        <v>0</v>
      </c>
      <c r="EZ12" s="75" t="s">
        <v>8</v>
      </c>
      <c r="FA12" s="30" t="s">
        <v>8</v>
      </c>
      <c r="FB12" s="35">
        <f t="shared" si="96"/>
        <v>0.37941462640303047</v>
      </c>
      <c r="FC12" s="33">
        <f t="shared" si="97"/>
        <v>4.4991869098182646E-2</v>
      </c>
      <c r="FD12" s="34">
        <f t="shared" si="98"/>
        <v>736808.147980168</v>
      </c>
      <c r="FE12" s="79">
        <f t="shared" si="99"/>
        <v>0</v>
      </c>
      <c r="FF12" s="75" t="s">
        <v>8</v>
      </c>
      <c r="FG12" s="30" t="s">
        <v>8</v>
      </c>
      <c r="FH12" s="35">
        <f t="shared" si="100"/>
        <v>0.37941462640303047</v>
      </c>
      <c r="FI12" s="33">
        <f t="shared" si="101"/>
        <v>4.4991869098182646E-2</v>
      </c>
      <c r="FJ12" s="34">
        <f t="shared" si="102"/>
        <v>736808.147980168</v>
      </c>
      <c r="FK12" s="79">
        <f t="shared" si="103"/>
        <v>0</v>
      </c>
      <c r="FL12" s="75" t="s">
        <v>8</v>
      </c>
      <c r="FM12" s="30" t="s">
        <v>8</v>
      </c>
      <c r="FN12" s="35">
        <f t="shared" si="104"/>
        <v>0.37941462640303047</v>
      </c>
      <c r="FO12" s="33">
        <f t="shared" si="105"/>
        <v>4.4991869098182646E-2</v>
      </c>
      <c r="FP12" s="34">
        <f t="shared" si="106"/>
        <v>736808.147980168</v>
      </c>
      <c r="FQ12" s="79">
        <f t="shared" si="107"/>
        <v>0</v>
      </c>
      <c r="FR12" s="75" t="s">
        <v>8</v>
      </c>
      <c r="FS12" s="30" t="s">
        <v>8</v>
      </c>
      <c r="FT12" s="35">
        <f t="shared" si="108"/>
        <v>0.37941462640303047</v>
      </c>
      <c r="FU12" s="33">
        <f t="shared" si="109"/>
        <v>4.4991869098182646E-2</v>
      </c>
      <c r="FV12" s="34">
        <f t="shared" si="110"/>
        <v>736808.147980168</v>
      </c>
      <c r="FW12" s="79">
        <f t="shared" si="111"/>
        <v>0</v>
      </c>
      <c r="FX12" s="75" t="s">
        <v>8</v>
      </c>
      <c r="FY12" s="30" t="s">
        <v>8</v>
      </c>
      <c r="FZ12" s="35">
        <f t="shared" si="112"/>
        <v>0.37941462640303047</v>
      </c>
      <c r="GA12" s="33">
        <f t="shared" si="113"/>
        <v>4.4991869098182646E-2</v>
      </c>
      <c r="GB12" s="34">
        <f t="shared" si="114"/>
        <v>736808.147980168</v>
      </c>
      <c r="GC12" s="79">
        <f t="shared" si="115"/>
        <v>0</v>
      </c>
      <c r="GD12" s="75" t="s">
        <v>8</v>
      </c>
      <c r="GE12" s="30" t="s">
        <v>8</v>
      </c>
      <c r="GF12" s="35">
        <f t="shared" si="116"/>
        <v>0.37941462640303047</v>
      </c>
      <c r="GG12" s="33">
        <f t="shared" si="117"/>
        <v>4.4991869098182646E-2</v>
      </c>
      <c r="GH12" s="34">
        <f t="shared" si="118"/>
        <v>736808.147980168</v>
      </c>
      <c r="GI12" s="114">
        <f t="shared" si="119"/>
        <v>0</v>
      </c>
      <c r="GJ12" s="152">
        <f t="shared" si="133"/>
        <v>1858110.9158268545</v>
      </c>
      <c r="GK12" s="87">
        <f t="shared" si="120"/>
        <v>2142993.1012415341</v>
      </c>
      <c r="GL12" s="194">
        <f t="shared" si="121"/>
        <v>0.37941462640303053</v>
      </c>
      <c r="GM12" s="197"/>
      <c r="GN12" s="201">
        <v>2142993.1</v>
      </c>
      <c r="GO12" s="197"/>
      <c r="GP12" s="201">
        <v>2165073.6800000002</v>
      </c>
      <c r="GQ12" s="197">
        <f t="shared" si="122"/>
        <v>-22080.578758466057</v>
      </c>
      <c r="GR12" s="224">
        <f t="shared" si="123"/>
        <v>-1.0198534563713366</v>
      </c>
    </row>
    <row r="13" spans="1:200" s="25" customFormat="1" ht="15.75" customHeight="1" x14ac:dyDescent="0.2">
      <c r="A13" s="171" t="s">
        <v>182</v>
      </c>
      <c r="B13" s="140" t="s">
        <v>8</v>
      </c>
      <c r="C13" s="140" t="s">
        <v>8</v>
      </c>
      <c r="D13" s="140" t="s">
        <v>8</v>
      </c>
      <c r="E13" s="140" t="s">
        <v>8</v>
      </c>
      <c r="F13" s="140" t="s">
        <v>8</v>
      </c>
      <c r="G13" s="96">
        <f>'Исходные данные'!C15</f>
        <v>196</v>
      </c>
      <c r="H13" s="31">
        <f>'Исходные данные'!D15</f>
        <v>148035.74</v>
      </c>
      <c r="I13" s="32">
        <f>'Расчет КРП'!G11</f>
        <v>17.102631376487071</v>
      </c>
      <c r="J13" s="103" t="s">
        <v>8</v>
      </c>
      <c r="K13" s="107">
        <f t="shared" si="124"/>
        <v>2.9106779702791033E-2</v>
      </c>
      <c r="L13" s="76">
        <f t="shared" si="7"/>
        <v>153820.68413574979</v>
      </c>
      <c r="M13" s="72">
        <f t="shared" si="8"/>
        <v>5.9350994828623986E-2</v>
      </c>
      <c r="N13" s="30" t="s">
        <v>8</v>
      </c>
      <c r="O13" s="33">
        <f t="shared" si="9"/>
        <v>0.1124159363039525</v>
      </c>
      <c r="P13" s="34">
        <f t="shared" si="10"/>
        <v>867479.19767156348</v>
      </c>
      <c r="Q13" s="79">
        <f t="shared" si="11"/>
        <v>867479.19767156348</v>
      </c>
      <c r="R13" s="145" t="s">
        <v>8</v>
      </c>
      <c r="S13" s="30" t="s">
        <v>8</v>
      </c>
      <c r="T13" s="35">
        <f t="shared" si="12"/>
        <v>0.2299147107487127</v>
      </c>
      <c r="U13" s="33">
        <f t="shared" si="13"/>
        <v>4.5695997925356308E-2</v>
      </c>
      <c r="V13" s="52">
        <f t="shared" si="14"/>
        <v>438217.19419495401</v>
      </c>
      <c r="W13" s="79">
        <f t="shared" si="15"/>
        <v>438217.19419495401</v>
      </c>
      <c r="X13" s="75" t="s">
        <v>8</v>
      </c>
      <c r="Y13" s="30" t="s">
        <v>8</v>
      </c>
      <c r="Z13" s="35">
        <f t="shared" si="16"/>
        <v>0.31607695328154789</v>
      </c>
      <c r="AA13" s="33">
        <f t="shared" si="17"/>
        <v>6.1845927590525762E-2</v>
      </c>
      <c r="AB13" s="52">
        <f t="shared" si="18"/>
        <v>726753.23379607545</v>
      </c>
      <c r="AC13" s="79">
        <f t="shared" si="19"/>
        <v>325205.07973022998</v>
      </c>
      <c r="AD13" s="75" t="s">
        <v>8</v>
      </c>
      <c r="AE13" s="30" t="s">
        <v>8</v>
      </c>
      <c r="AF13" s="35">
        <f t="shared" si="20"/>
        <v>0.38001875959086473</v>
      </c>
      <c r="AG13" s="33">
        <f t="shared" si="21"/>
        <v>4.4387735910348391E-2</v>
      </c>
      <c r="AH13" s="52">
        <f t="shared" si="22"/>
        <v>559389.76169799489</v>
      </c>
      <c r="AI13" s="79">
        <f t="shared" si="23"/>
        <v>0</v>
      </c>
      <c r="AJ13" s="75" t="s">
        <v>8</v>
      </c>
      <c r="AK13" s="30" t="s">
        <v>8</v>
      </c>
      <c r="AL13" s="35">
        <f t="shared" si="24"/>
        <v>0.38001875959086473</v>
      </c>
      <c r="AM13" s="33">
        <f t="shared" si="25"/>
        <v>4.4387735910348391E-2</v>
      </c>
      <c r="AN13" s="52">
        <f t="shared" si="26"/>
        <v>559389.76169799489</v>
      </c>
      <c r="AO13" s="79">
        <f t="shared" si="27"/>
        <v>0</v>
      </c>
      <c r="AP13" s="75" t="s">
        <v>8</v>
      </c>
      <c r="AQ13" s="30" t="s">
        <v>8</v>
      </c>
      <c r="AR13" s="35">
        <f t="shared" si="28"/>
        <v>0.38001875959086473</v>
      </c>
      <c r="AS13" s="33">
        <f t="shared" si="29"/>
        <v>4.4387735910348391E-2</v>
      </c>
      <c r="AT13" s="52">
        <f t="shared" si="30"/>
        <v>559389.76169799489</v>
      </c>
      <c r="AU13" s="79">
        <f t="shared" si="31"/>
        <v>0</v>
      </c>
      <c r="AV13" s="75" t="s">
        <v>8</v>
      </c>
      <c r="AW13" s="30" t="s">
        <v>8</v>
      </c>
      <c r="AX13" s="35">
        <f t="shared" si="32"/>
        <v>0.38001875959086473</v>
      </c>
      <c r="AY13" s="33">
        <f t="shared" si="33"/>
        <v>4.4387735910348391E-2</v>
      </c>
      <c r="AZ13" s="52">
        <f t="shared" si="34"/>
        <v>559389.76169799489</v>
      </c>
      <c r="BA13" s="79">
        <f t="shared" si="35"/>
        <v>0</v>
      </c>
      <c r="BB13" s="75" t="s">
        <v>8</v>
      </c>
      <c r="BC13" s="30" t="s">
        <v>8</v>
      </c>
      <c r="BD13" s="35">
        <f t="shared" si="36"/>
        <v>0.38001875959086473</v>
      </c>
      <c r="BE13" s="33">
        <f t="shared" si="37"/>
        <v>4.4387735910348391E-2</v>
      </c>
      <c r="BF13" s="52">
        <f t="shared" si="38"/>
        <v>559389.76169799489</v>
      </c>
      <c r="BG13" s="79">
        <f t="shared" si="39"/>
        <v>0</v>
      </c>
      <c r="BH13" s="75" t="s">
        <v>8</v>
      </c>
      <c r="BI13" s="30" t="s">
        <v>8</v>
      </c>
      <c r="BJ13" s="35">
        <f t="shared" si="40"/>
        <v>0.38001875959086473</v>
      </c>
      <c r="BK13" s="33">
        <f t="shared" si="41"/>
        <v>4.4387735910348391E-2</v>
      </c>
      <c r="BL13" s="52">
        <f t="shared" si="42"/>
        <v>559389.76169799489</v>
      </c>
      <c r="BM13" s="79">
        <f t="shared" si="43"/>
        <v>0</v>
      </c>
      <c r="BN13" s="75" t="s">
        <v>8</v>
      </c>
      <c r="BO13" s="30" t="s">
        <v>8</v>
      </c>
      <c r="BP13" s="35">
        <f t="shared" si="44"/>
        <v>0.38001875959086473</v>
      </c>
      <c r="BQ13" s="33">
        <f t="shared" si="45"/>
        <v>4.4387735910348391E-2</v>
      </c>
      <c r="BR13" s="52">
        <f t="shared" si="46"/>
        <v>559389.76169799489</v>
      </c>
      <c r="BS13" s="114">
        <f t="shared" si="47"/>
        <v>0</v>
      </c>
      <c r="BT13" s="75" t="s">
        <v>8</v>
      </c>
      <c r="BU13" s="30" t="s">
        <v>8</v>
      </c>
      <c r="BV13" s="35">
        <f t="shared" si="125"/>
        <v>0.38001875959086473</v>
      </c>
      <c r="BW13" s="33">
        <f t="shared" si="48"/>
        <v>4.4387735910348391E-2</v>
      </c>
      <c r="BX13" s="52">
        <f t="shared" si="49"/>
        <v>559389.76169799489</v>
      </c>
      <c r="BY13" s="114">
        <f t="shared" si="50"/>
        <v>0</v>
      </c>
      <c r="BZ13" s="75" t="s">
        <v>8</v>
      </c>
      <c r="CA13" s="30" t="s">
        <v>8</v>
      </c>
      <c r="CB13" s="35">
        <f t="shared" si="126"/>
        <v>0.38001875959086473</v>
      </c>
      <c r="CC13" s="33">
        <f t="shared" si="51"/>
        <v>4.4387735910348391E-2</v>
      </c>
      <c r="CD13" s="52">
        <f t="shared" si="52"/>
        <v>559389.76169799489</v>
      </c>
      <c r="CE13" s="114">
        <f t="shared" si="53"/>
        <v>0</v>
      </c>
      <c r="CF13" s="75" t="s">
        <v>8</v>
      </c>
      <c r="CG13" s="30" t="s">
        <v>8</v>
      </c>
      <c r="CH13" s="35">
        <f t="shared" si="54"/>
        <v>0.38001875959086473</v>
      </c>
      <c r="CI13" s="33">
        <f t="shared" si="55"/>
        <v>4.4387735910348391E-2</v>
      </c>
      <c r="CJ13" s="52">
        <f t="shared" si="56"/>
        <v>559389.76169799489</v>
      </c>
      <c r="CK13" s="114">
        <f t="shared" si="57"/>
        <v>0</v>
      </c>
      <c r="CL13" s="75" t="s">
        <v>8</v>
      </c>
      <c r="CM13" s="30" t="s">
        <v>8</v>
      </c>
      <c r="CN13" s="35">
        <f t="shared" si="127"/>
        <v>0.38001875959086473</v>
      </c>
      <c r="CO13" s="33">
        <f t="shared" si="58"/>
        <v>4.4387735910348391E-2</v>
      </c>
      <c r="CP13" s="52">
        <f t="shared" si="59"/>
        <v>559389.76169799489</v>
      </c>
      <c r="CQ13" s="114">
        <f t="shared" si="60"/>
        <v>0</v>
      </c>
      <c r="CR13" s="75" t="s">
        <v>8</v>
      </c>
      <c r="CS13" s="30" t="s">
        <v>8</v>
      </c>
      <c r="CT13" s="35">
        <f t="shared" si="128"/>
        <v>0.38001875959086473</v>
      </c>
      <c r="CU13" s="33">
        <f t="shared" si="61"/>
        <v>4.4387735910348391E-2</v>
      </c>
      <c r="CV13" s="52">
        <f t="shared" si="62"/>
        <v>559389.76169799489</v>
      </c>
      <c r="CW13" s="114">
        <f t="shared" si="63"/>
        <v>0</v>
      </c>
      <c r="CX13" s="75" t="s">
        <v>8</v>
      </c>
      <c r="CY13" s="30" t="s">
        <v>8</v>
      </c>
      <c r="CZ13" s="35">
        <f t="shared" si="129"/>
        <v>0.38001875959086473</v>
      </c>
      <c r="DA13" s="33">
        <f t="shared" si="64"/>
        <v>4.4387735910348391E-2</v>
      </c>
      <c r="DB13" s="52">
        <f t="shared" si="65"/>
        <v>559389.76169799489</v>
      </c>
      <c r="DC13" s="114">
        <f t="shared" si="66"/>
        <v>0</v>
      </c>
      <c r="DD13" s="75" t="s">
        <v>8</v>
      </c>
      <c r="DE13" s="30" t="s">
        <v>8</v>
      </c>
      <c r="DF13" s="35">
        <f t="shared" si="130"/>
        <v>0.38001875959086473</v>
      </c>
      <c r="DG13" s="33">
        <f t="shared" si="67"/>
        <v>4.4387735910348391E-2</v>
      </c>
      <c r="DH13" s="52">
        <f t="shared" si="68"/>
        <v>559389.76169799489</v>
      </c>
      <c r="DI13" s="114">
        <f t="shared" si="69"/>
        <v>0</v>
      </c>
      <c r="DJ13" s="75" t="s">
        <v>8</v>
      </c>
      <c r="DK13" s="30" t="s">
        <v>8</v>
      </c>
      <c r="DL13" s="35">
        <f t="shared" si="131"/>
        <v>0.38001875959086473</v>
      </c>
      <c r="DM13" s="33">
        <f t="shared" si="70"/>
        <v>4.4387735910348391E-2</v>
      </c>
      <c r="DN13" s="52">
        <f t="shared" si="71"/>
        <v>559389.76169799489</v>
      </c>
      <c r="DO13" s="114">
        <f t="shared" si="72"/>
        <v>0</v>
      </c>
      <c r="DP13" s="75" t="s">
        <v>8</v>
      </c>
      <c r="DQ13" s="30" t="s">
        <v>8</v>
      </c>
      <c r="DR13" s="35">
        <f t="shared" si="132"/>
        <v>0.38001875959086473</v>
      </c>
      <c r="DS13" s="33">
        <f t="shared" si="73"/>
        <v>4.4387735910348391E-2</v>
      </c>
      <c r="DT13" s="52">
        <f t="shared" si="74"/>
        <v>559389.76169799489</v>
      </c>
      <c r="DU13" s="114">
        <f t="shared" si="75"/>
        <v>0</v>
      </c>
      <c r="DV13" s="75" t="s">
        <v>8</v>
      </c>
      <c r="DW13" s="30" t="s">
        <v>8</v>
      </c>
      <c r="DX13" s="35">
        <f t="shared" si="76"/>
        <v>0.38001875959086473</v>
      </c>
      <c r="DY13" s="33">
        <f t="shared" si="77"/>
        <v>4.4387735910348391E-2</v>
      </c>
      <c r="DZ13" s="34">
        <f t="shared" si="78"/>
        <v>559389.76169799489</v>
      </c>
      <c r="EA13" s="79">
        <f t="shared" si="79"/>
        <v>0</v>
      </c>
      <c r="EB13" s="75" t="s">
        <v>8</v>
      </c>
      <c r="EC13" s="30" t="s">
        <v>8</v>
      </c>
      <c r="ED13" s="35">
        <f t="shared" si="80"/>
        <v>0.38001875959086473</v>
      </c>
      <c r="EE13" s="33">
        <f t="shared" si="81"/>
        <v>4.4387735910348391E-2</v>
      </c>
      <c r="EF13" s="34">
        <f t="shared" si="82"/>
        <v>559389.76169799489</v>
      </c>
      <c r="EG13" s="79">
        <f t="shared" si="83"/>
        <v>0</v>
      </c>
      <c r="EH13" s="75" t="s">
        <v>8</v>
      </c>
      <c r="EI13" s="30" t="s">
        <v>8</v>
      </c>
      <c r="EJ13" s="35">
        <f t="shared" si="84"/>
        <v>0.38001875959086473</v>
      </c>
      <c r="EK13" s="33">
        <f t="shared" si="85"/>
        <v>4.4387735910348391E-2</v>
      </c>
      <c r="EL13" s="34">
        <f t="shared" si="86"/>
        <v>559389.76169799489</v>
      </c>
      <c r="EM13" s="79">
        <f t="shared" si="87"/>
        <v>0</v>
      </c>
      <c r="EN13" s="75" t="s">
        <v>8</v>
      </c>
      <c r="EO13" s="30" t="s">
        <v>8</v>
      </c>
      <c r="EP13" s="35">
        <f t="shared" si="88"/>
        <v>0.38001875959086473</v>
      </c>
      <c r="EQ13" s="33">
        <f t="shared" si="89"/>
        <v>4.4387735910348391E-2</v>
      </c>
      <c r="ER13" s="34">
        <f t="shared" si="90"/>
        <v>559389.76169799489</v>
      </c>
      <c r="ES13" s="79">
        <f t="shared" si="91"/>
        <v>0</v>
      </c>
      <c r="ET13" s="75" t="s">
        <v>8</v>
      </c>
      <c r="EU13" s="30" t="s">
        <v>8</v>
      </c>
      <c r="EV13" s="35">
        <f t="shared" si="92"/>
        <v>0.38001875959086473</v>
      </c>
      <c r="EW13" s="33">
        <f t="shared" si="93"/>
        <v>4.4387735910348391E-2</v>
      </c>
      <c r="EX13" s="34">
        <f t="shared" si="94"/>
        <v>559389.76169799489</v>
      </c>
      <c r="EY13" s="79">
        <f t="shared" si="95"/>
        <v>0</v>
      </c>
      <c r="EZ13" s="75" t="s">
        <v>8</v>
      </c>
      <c r="FA13" s="30" t="s">
        <v>8</v>
      </c>
      <c r="FB13" s="35">
        <f t="shared" si="96"/>
        <v>0.38001875959086473</v>
      </c>
      <c r="FC13" s="33">
        <f t="shared" si="97"/>
        <v>4.4387735910348391E-2</v>
      </c>
      <c r="FD13" s="34">
        <f t="shared" si="98"/>
        <v>559389.76169799489</v>
      </c>
      <c r="FE13" s="79">
        <f t="shared" si="99"/>
        <v>0</v>
      </c>
      <c r="FF13" s="75" t="s">
        <v>8</v>
      </c>
      <c r="FG13" s="30" t="s">
        <v>8</v>
      </c>
      <c r="FH13" s="35">
        <f t="shared" si="100"/>
        <v>0.38001875959086473</v>
      </c>
      <c r="FI13" s="33">
        <f t="shared" si="101"/>
        <v>4.4387735910348391E-2</v>
      </c>
      <c r="FJ13" s="34">
        <f t="shared" si="102"/>
        <v>559389.76169799489</v>
      </c>
      <c r="FK13" s="79">
        <f t="shared" si="103"/>
        <v>0</v>
      </c>
      <c r="FL13" s="75" t="s">
        <v>8</v>
      </c>
      <c r="FM13" s="30" t="s">
        <v>8</v>
      </c>
      <c r="FN13" s="35">
        <f t="shared" si="104"/>
        <v>0.38001875959086473</v>
      </c>
      <c r="FO13" s="33">
        <f t="shared" si="105"/>
        <v>4.4387735910348391E-2</v>
      </c>
      <c r="FP13" s="34">
        <f t="shared" si="106"/>
        <v>559389.76169799489</v>
      </c>
      <c r="FQ13" s="79">
        <f t="shared" si="107"/>
        <v>0</v>
      </c>
      <c r="FR13" s="75" t="s">
        <v>8</v>
      </c>
      <c r="FS13" s="30" t="s">
        <v>8</v>
      </c>
      <c r="FT13" s="35">
        <f t="shared" si="108"/>
        <v>0.38001875959086473</v>
      </c>
      <c r="FU13" s="33">
        <f t="shared" si="109"/>
        <v>4.4387735910348391E-2</v>
      </c>
      <c r="FV13" s="34">
        <f t="shared" si="110"/>
        <v>559389.76169799489</v>
      </c>
      <c r="FW13" s="79">
        <f t="shared" si="111"/>
        <v>0</v>
      </c>
      <c r="FX13" s="75" t="s">
        <v>8</v>
      </c>
      <c r="FY13" s="30" t="s">
        <v>8</v>
      </c>
      <c r="FZ13" s="35">
        <f t="shared" si="112"/>
        <v>0.38001875959086473</v>
      </c>
      <c r="GA13" s="33">
        <f t="shared" si="113"/>
        <v>4.4387735910348391E-2</v>
      </c>
      <c r="GB13" s="34">
        <f t="shared" si="114"/>
        <v>559389.76169799489</v>
      </c>
      <c r="GC13" s="79">
        <f t="shared" si="115"/>
        <v>0</v>
      </c>
      <c r="GD13" s="75" t="s">
        <v>8</v>
      </c>
      <c r="GE13" s="30" t="s">
        <v>8</v>
      </c>
      <c r="GF13" s="35">
        <f t="shared" si="116"/>
        <v>0.38001875959086473</v>
      </c>
      <c r="GG13" s="33">
        <f t="shared" si="117"/>
        <v>4.4387735910348391E-2</v>
      </c>
      <c r="GH13" s="34">
        <f t="shared" si="118"/>
        <v>559389.76169799489</v>
      </c>
      <c r="GI13" s="114">
        <f t="shared" si="119"/>
        <v>0</v>
      </c>
      <c r="GJ13" s="152">
        <f t="shared" si="133"/>
        <v>1630901.4715967474</v>
      </c>
      <c r="GK13" s="87">
        <f t="shared" si="120"/>
        <v>1784722.1557324971</v>
      </c>
      <c r="GL13" s="194">
        <f t="shared" si="121"/>
        <v>0.38001875959086467</v>
      </c>
      <c r="GM13" s="197"/>
      <c r="GN13" s="201">
        <v>1784722.16</v>
      </c>
      <c r="GO13" s="197"/>
      <c r="GP13" s="201">
        <v>1802152.8</v>
      </c>
      <c r="GQ13" s="197">
        <f t="shared" si="122"/>
        <v>-17430.644267502939</v>
      </c>
      <c r="GR13" s="224">
        <f t="shared" si="123"/>
        <v>-0.96721234001373091</v>
      </c>
    </row>
    <row r="14" spans="1:200" s="25" customFormat="1" x14ac:dyDescent="0.2">
      <c r="A14" s="171" t="s">
        <v>183</v>
      </c>
      <c r="B14" s="140" t="s">
        <v>8</v>
      </c>
      <c r="C14" s="140" t="s">
        <v>8</v>
      </c>
      <c r="D14" s="140" t="s">
        <v>8</v>
      </c>
      <c r="E14" s="140" t="s">
        <v>8</v>
      </c>
      <c r="F14" s="140" t="s">
        <v>8</v>
      </c>
      <c r="G14" s="96">
        <f>'Исходные данные'!C16</f>
        <v>1711</v>
      </c>
      <c r="H14" s="31">
        <f>'Исходные данные'!D16</f>
        <v>2055171.98</v>
      </c>
      <c r="I14" s="32">
        <f>'Расчет КРП'!G12</f>
        <v>9.1287092917527684</v>
      </c>
      <c r="J14" s="103" t="s">
        <v>8</v>
      </c>
      <c r="K14" s="107">
        <f t="shared" si="124"/>
        <v>8.6723215099608134E-2</v>
      </c>
      <c r="L14" s="76">
        <f t="shared" si="7"/>
        <v>1342791.7885523874</v>
      </c>
      <c r="M14" s="72">
        <f t="shared" si="8"/>
        <v>0.1433857339767953</v>
      </c>
      <c r="N14" s="30" t="s">
        <v>8</v>
      </c>
      <c r="O14" s="33">
        <f t="shared" si="9"/>
        <v>2.838119715578119E-2</v>
      </c>
      <c r="P14" s="34">
        <f t="shared" si="10"/>
        <v>1020474.7837822171</v>
      </c>
      <c r="Q14" s="79">
        <f t="shared" si="11"/>
        <v>1020474.7837822171</v>
      </c>
      <c r="R14" s="145" t="s">
        <v>8</v>
      </c>
      <c r="S14" s="30" t="s">
        <v>8</v>
      </c>
      <c r="T14" s="35">
        <f t="shared" si="12"/>
        <v>0.18644726607187148</v>
      </c>
      <c r="U14" s="33">
        <f t="shared" si="13"/>
        <v>8.9163442602197523E-2</v>
      </c>
      <c r="V14" s="52">
        <f t="shared" si="14"/>
        <v>3984175.4584724898</v>
      </c>
      <c r="W14" s="79">
        <f t="shared" si="15"/>
        <v>3984175.4584724898</v>
      </c>
      <c r="X14" s="75" t="s">
        <v>8</v>
      </c>
      <c r="Y14" s="30" t="s">
        <v>8</v>
      </c>
      <c r="Z14" s="35">
        <f t="shared" si="16"/>
        <v>0.35456969506668945</v>
      </c>
      <c r="AA14" s="33">
        <f t="shared" si="17"/>
        <v>2.3353185805384202E-2</v>
      </c>
      <c r="AB14" s="52">
        <f t="shared" si="18"/>
        <v>1278681.4944340778</v>
      </c>
      <c r="AC14" s="79">
        <f t="shared" si="19"/>
        <v>572180.07159729453</v>
      </c>
      <c r="AD14" s="75" t="s">
        <v>8</v>
      </c>
      <c r="AE14" s="30" t="s">
        <v>8</v>
      </c>
      <c r="AF14" s="35">
        <f t="shared" si="20"/>
        <v>0.37871429021869296</v>
      </c>
      <c r="AG14" s="33">
        <f t="shared" si="21"/>
        <v>4.569220528252016E-2</v>
      </c>
      <c r="AH14" s="52">
        <f t="shared" si="22"/>
        <v>2683082.4535198752</v>
      </c>
      <c r="AI14" s="79">
        <f t="shared" si="23"/>
        <v>0</v>
      </c>
      <c r="AJ14" s="75" t="s">
        <v>8</v>
      </c>
      <c r="AK14" s="30" t="s">
        <v>8</v>
      </c>
      <c r="AL14" s="35">
        <f t="shared" si="24"/>
        <v>0.37871429021869296</v>
      </c>
      <c r="AM14" s="33">
        <f t="shared" si="25"/>
        <v>4.569220528252016E-2</v>
      </c>
      <c r="AN14" s="52">
        <f t="shared" si="26"/>
        <v>2683082.4535198752</v>
      </c>
      <c r="AO14" s="79">
        <f t="shared" si="27"/>
        <v>0</v>
      </c>
      <c r="AP14" s="75" t="s">
        <v>8</v>
      </c>
      <c r="AQ14" s="30" t="s">
        <v>8</v>
      </c>
      <c r="AR14" s="35">
        <f t="shared" si="28"/>
        <v>0.37871429021869296</v>
      </c>
      <c r="AS14" s="33">
        <f t="shared" si="29"/>
        <v>4.569220528252016E-2</v>
      </c>
      <c r="AT14" s="52">
        <f t="shared" si="30"/>
        <v>2683082.4535198752</v>
      </c>
      <c r="AU14" s="79">
        <f t="shared" si="31"/>
        <v>0</v>
      </c>
      <c r="AV14" s="75" t="s">
        <v>8</v>
      </c>
      <c r="AW14" s="30" t="s">
        <v>8</v>
      </c>
      <c r="AX14" s="35">
        <f t="shared" si="32"/>
        <v>0.37871429021869296</v>
      </c>
      <c r="AY14" s="33">
        <f t="shared" si="33"/>
        <v>4.569220528252016E-2</v>
      </c>
      <c r="AZ14" s="52">
        <f t="shared" si="34"/>
        <v>2683082.4535198752</v>
      </c>
      <c r="BA14" s="79">
        <f t="shared" si="35"/>
        <v>0</v>
      </c>
      <c r="BB14" s="75" t="s">
        <v>8</v>
      </c>
      <c r="BC14" s="30" t="s">
        <v>8</v>
      </c>
      <c r="BD14" s="35">
        <f t="shared" si="36"/>
        <v>0.37871429021869296</v>
      </c>
      <c r="BE14" s="33">
        <f t="shared" si="37"/>
        <v>4.569220528252016E-2</v>
      </c>
      <c r="BF14" s="52">
        <f t="shared" si="38"/>
        <v>2683082.4535198752</v>
      </c>
      <c r="BG14" s="79">
        <f t="shared" si="39"/>
        <v>0</v>
      </c>
      <c r="BH14" s="75" t="s">
        <v>8</v>
      </c>
      <c r="BI14" s="30" t="s">
        <v>8</v>
      </c>
      <c r="BJ14" s="35">
        <f t="shared" si="40"/>
        <v>0.37871429021869296</v>
      </c>
      <c r="BK14" s="33">
        <f t="shared" si="41"/>
        <v>4.569220528252016E-2</v>
      </c>
      <c r="BL14" s="52">
        <f t="shared" si="42"/>
        <v>2683082.4535198752</v>
      </c>
      <c r="BM14" s="79">
        <f t="shared" si="43"/>
        <v>0</v>
      </c>
      <c r="BN14" s="75" t="s">
        <v>8</v>
      </c>
      <c r="BO14" s="30" t="s">
        <v>8</v>
      </c>
      <c r="BP14" s="35">
        <f t="shared" si="44"/>
        <v>0.37871429021869296</v>
      </c>
      <c r="BQ14" s="33">
        <f t="shared" si="45"/>
        <v>4.569220528252016E-2</v>
      </c>
      <c r="BR14" s="52">
        <f t="shared" si="46"/>
        <v>2683082.4535198752</v>
      </c>
      <c r="BS14" s="114">
        <f t="shared" si="47"/>
        <v>0</v>
      </c>
      <c r="BT14" s="75" t="s">
        <v>8</v>
      </c>
      <c r="BU14" s="30" t="s">
        <v>8</v>
      </c>
      <c r="BV14" s="35">
        <f t="shared" si="125"/>
        <v>0.37871429021869296</v>
      </c>
      <c r="BW14" s="33">
        <f t="shared" si="48"/>
        <v>4.569220528252016E-2</v>
      </c>
      <c r="BX14" s="52">
        <f t="shared" si="49"/>
        <v>2683082.4535198752</v>
      </c>
      <c r="BY14" s="114">
        <f t="shared" si="50"/>
        <v>0</v>
      </c>
      <c r="BZ14" s="75" t="s">
        <v>8</v>
      </c>
      <c r="CA14" s="30" t="s">
        <v>8</v>
      </c>
      <c r="CB14" s="35">
        <f t="shared" si="126"/>
        <v>0.37871429021869296</v>
      </c>
      <c r="CC14" s="33">
        <f t="shared" si="51"/>
        <v>4.569220528252016E-2</v>
      </c>
      <c r="CD14" s="52">
        <f t="shared" si="52"/>
        <v>2683082.4535198752</v>
      </c>
      <c r="CE14" s="114">
        <f t="shared" si="53"/>
        <v>0</v>
      </c>
      <c r="CF14" s="75" t="s">
        <v>8</v>
      </c>
      <c r="CG14" s="30" t="s">
        <v>8</v>
      </c>
      <c r="CH14" s="35">
        <f t="shared" si="54"/>
        <v>0.37871429021869296</v>
      </c>
      <c r="CI14" s="33">
        <f t="shared" si="55"/>
        <v>4.569220528252016E-2</v>
      </c>
      <c r="CJ14" s="52">
        <f t="shared" si="56"/>
        <v>2683082.4535198752</v>
      </c>
      <c r="CK14" s="114">
        <f t="shared" si="57"/>
        <v>0</v>
      </c>
      <c r="CL14" s="75" t="s">
        <v>8</v>
      </c>
      <c r="CM14" s="30" t="s">
        <v>8</v>
      </c>
      <c r="CN14" s="35">
        <f t="shared" si="127"/>
        <v>0.37871429021869296</v>
      </c>
      <c r="CO14" s="33">
        <f t="shared" si="58"/>
        <v>4.569220528252016E-2</v>
      </c>
      <c r="CP14" s="52">
        <f t="shared" si="59"/>
        <v>2683082.4535198752</v>
      </c>
      <c r="CQ14" s="114">
        <f t="shared" si="60"/>
        <v>0</v>
      </c>
      <c r="CR14" s="75" t="s">
        <v>8</v>
      </c>
      <c r="CS14" s="30" t="s">
        <v>8</v>
      </c>
      <c r="CT14" s="35">
        <f t="shared" si="128"/>
        <v>0.37871429021869296</v>
      </c>
      <c r="CU14" s="33">
        <f t="shared" si="61"/>
        <v>4.569220528252016E-2</v>
      </c>
      <c r="CV14" s="52">
        <f t="shared" si="62"/>
        <v>2683082.4535198752</v>
      </c>
      <c r="CW14" s="114">
        <f t="shared" si="63"/>
        <v>0</v>
      </c>
      <c r="CX14" s="75" t="s">
        <v>8</v>
      </c>
      <c r="CY14" s="30" t="s">
        <v>8</v>
      </c>
      <c r="CZ14" s="35">
        <f t="shared" si="129"/>
        <v>0.37871429021869296</v>
      </c>
      <c r="DA14" s="33">
        <f t="shared" si="64"/>
        <v>4.569220528252016E-2</v>
      </c>
      <c r="DB14" s="52">
        <f t="shared" si="65"/>
        <v>2683082.4535198752</v>
      </c>
      <c r="DC14" s="114">
        <f t="shared" si="66"/>
        <v>0</v>
      </c>
      <c r="DD14" s="75" t="s">
        <v>8</v>
      </c>
      <c r="DE14" s="30" t="s">
        <v>8</v>
      </c>
      <c r="DF14" s="35">
        <f t="shared" si="130"/>
        <v>0.37871429021869296</v>
      </c>
      <c r="DG14" s="33">
        <f t="shared" si="67"/>
        <v>4.569220528252016E-2</v>
      </c>
      <c r="DH14" s="52">
        <f t="shared" si="68"/>
        <v>2683082.4535198752</v>
      </c>
      <c r="DI14" s="114">
        <f t="shared" si="69"/>
        <v>0</v>
      </c>
      <c r="DJ14" s="75" t="s">
        <v>8</v>
      </c>
      <c r="DK14" s="30" t="s">
        <v>8</v>
      </c>
      <c r="DL14" s="35">
        <f t="shared" si="131"/>
        <v>0.37871429021869296</v>
      </c>
      <c r="DM14" s="33">
        <f t="shared" si="70"/>
        <v>4.569220528252016E-2</v>
      </c>
      <c r="DN14" s="52">
        <f t="shared" si="71"/>
        <v>2683082.4535198752</v>
      </c>
      <c r="DO14" s="114">
        <f t="shared" si="72"/>
        <v>0</v>
      </c>
      <c r="DP14" s="75" t="s">
        <v>8</v>
      </c>
      <c r="DQ14" s="30" t="s">
        <v>8</v>
      </c>
      <c r="DR14" s="35">
        <f t="shared" si="132"/>
        <v>0.37871429021869296</v>
      </c>
      <c r="DS14" s="33">
        <f t="shared" si="73"/>
        <v>4.569220528252016E-2</v>
      </c>
      <c r="DT14" s="52">
        <f t="shared" si="74"/>
        <v>2683082.4535198752</v>
      </c>
      <c r="DU14" s="114">
        <f t="shared" si="75"/>
        <v>0</v>
      </c>
      <c r="DV14" s="75" t="s">
        <v>8</v>
      </c>
      <c r="DW14" s="30" t="s">
        <v>8</v>
      </c>
      <c r="DX14" s="35">
        <f t="shared" si="76"/>
        <v>0.37871429021869296</v>
      </c>
      <c r="DY14" s="33">
        <f t="shared" si="77"/>
        <v>4.569220528252016E-2</v>
      </c>
      <c r="DZ14" s="34">
        <f t="shared" si="78"/>
        <v>2683082.4535198752</v>
      </c>
      <c r="EA14" s="79">
        <f t="shared" si="79"/>
        <v>0</v>
      </c>
      <c r="EB14" s="75" t="s">
        <v>8</v>
      </c>
      <c r="EC14" s="30" t="s">
        <v>8</v>
      </c>
      <c r="ED14" s="35">
        <f t="shared" si="80"/>
        <v>0.37871429021869296</v>
      </c>
      <c r="EE14" s="33">
        <f t="shared" si="81"/>
        <v>4.569220528252016E-2</v>
      </c>
      <c r="EF14" s="34">
        <f t="shared" si="82"/>
        <v>2683082.4535198752</v>
      </c>
      <c r="EG14" s="79">
        <f t="shared" si="83"/>
        <v>0</v>
      </c>
      <c r="EH14" s="75" t="s">
        <v>8</v>
      </c>
      <c r="EI14" s="30" t="s">
        <v>8</v>
      </c>
      <c r="EJ14" s="35">
        <f t="shared" si="84"/>
        <v>0.37871429021869296</v>
      </c>
      <c r="EK14" s="33">
        <f t="shared" si="85"/>
        <v>4.569220528252016E-2</v>
      </c>
      <c r="EL14" s="34">
        <f t="shared" si="86"/>
        <v>2683082.4535198752</v>
      </c>
      <c r="EM14" s="79">
        <f t="shared" si="87"/>
        <v>0</v>
      </c>
      <c r="EN14" s="75" t="s">
        <v>8</v>
      </c>
      <c r="EO14" s="30" t="s">
        <v>8</v>
      </c>
      <c r="EP14" s="35">
        <f t="shared" si="88"/>
        <v>0.37871429021869296</v>
      </c>
      <c r="EQ14" s="33">
        <f t="shared" si="89"/>
        <v>4.569220528252016E-2</v>
      </c>
      <c r="ER14" s="34">
        <f t="shared" si="90"/>
        <v>2683082.4535198752</v>
      </c>
      <c r="ES14" s="79">
        <f t="shared" si="91"/>
        <v>0</v>
      </c>
      <c r="ET14" s="75" t="s">
        <v>8</v>
      </c>
      <c r="EU14" s="30" t="s">
        <v>8</v>
      </c>
      <c r="EV14" s="35">
        <f t="shared" si="92"/>
        <v>0.37871429021869296</v>
      </c>
      <c r="EW14" s="33">
        <f t="shared" si="93"/>
        <v>4.569220528252016E-2</v>
      </c>
      <c r="EX14" s="34">
        <f t="shared" si="94"/>
        <v>2683082.4535198752</v>
      </c>
      <c r="EY14" s="79">
        <f t="shared" si="95"/>
        <v>0</v>
      </c>
      <c r="EZ14" s="75" t="s">
        <v>8</v>
      </c>
      <c r="FA14" s="30" t="s">
        <v>8</v>
      </c>
      <c r="FB14" s="35">
        <f t="shared" si="96"/>
        <v>0.37871429021869296</v>
      </c>
      <c r="FC14" s="33">
        <f t="shared" si="97"/>
        <v>4.569220528252016E-2</v>
      </c>
      <c r="FD14" s="34">
        <f t="shared" si="98"/>
        <v>2683082.4535198752</v>
      </c>
      <c r="FE14" s="79">
        <f t="shared" si="99"/>
        <v>0</v>
      </c>
      <c r="FF14" s="75" t="s">
        <v>8</v>
      </c>
      <c r="FG14" s="30" t="s">
        <v>8</v>
      </c>
      <c r="FH14" s="35">
        <f t="shared" si="100"/>
        <v>0.37871429021869296</v>
      </c>
      <c r="FI14" s="33">
        <f t="shared" si="101"/>
        <v>4.569220528252016E-2</v>
      </c>
      <c r="FJ14" s="34">
        <f t="shared" si="102"/>
        <v>2683082.4535198752</v>
      </c>
      <c r="FK14" s="79">
        <f t="shared" si="103"/>
        <v>0</v>
      </c>
      <c r="FL14" s="75" t="s">
        <v>8</v>
      </c>
      <c r="FM14" s="30" t="s">
        <v>8</v>
      </c>
      <c r="FN14" s="35">
        <f t="shared" si="104"/>
        <v>0.37871429021869296</v>
      </c>
      <c r="FO14" s="33">
        <f t="shared" si="105"/>
        <v>4.569220528252016E-2</v>
      </c>
      <c r="FP14" s="34">
        <f t="shared" si="106"/>
        <v>2683082.4535198752</v>
      </c>
      <c r="FQ14" s="79">
        <f t="shared" si="107"/>
        <v>0</v>
      </c>
      <c r="FR14" s="75" t="s">
        <v>8</v>
      </c>
      <c r="FS14" s="30" t="s">
        <v>8</v>
      </c>
      <c r="FT14" s="35">
        <f t="shared" si="108"/>
        <v>0.37871429021869296</v>
      </c>
      <c r="FU14" s="33">
        <f t="shared" si="109"/>
        <v>4.569220528252016E-2</v>
      </c>
      <c r="FV14" s="34">
        <f t="shared" si="110"/>
        <v>2683082.4535198752</v>
      </c>
      <c r="FW14" s="79">
        <f t="shared" si="111"/>
        <v>0</v>
      </c>
      <c r="FX14" s="75" t="s">
        <v>8</v>
      </c>
      <c r="FY14" s="30" t="s">
        <v>8</v>
      </c>
      <c r="FZ14" s="35">
        <f t="shared" si="112"/>
        <v>0.37871429021869296</v>
      </c>
      <c r="GA14" s="33">
        <f t="shared" si="113"/>
        <v>4.569220528252016E-2</v>
      </c>
      <c r="GB14" s="34">
        <f t="shared" si="114"/>
        <v>2683082.4535198752</v>
      </c>
      <c r="GC14" s="79">
        <f t="shared" si="115"/>
        <v>0</v>
      </c>
      <c r="GD14" s="75" t="s">
        <v>8</v>
      </c>
      <c r="GE14" s="30" t="s">
        <v>8</v>
      </c>
      <c r="GF14" s="35">
        <f t="shared" si="116"/>
        <v>0.37871429021869296</v>
      </c>
      <c r="GG14" s="33">
        <f t="shared" si="117"/>
        <v>4.569220528252016E-2</v>
      </c>
      <c r="GH14" s="34">
        <f t="shared" si="118"/>
        <v>2683082.4535198752</v>
      </c>
      <c r="GI14" s="114">
        <f t="shared" si="119"/>
        <v>0</v>
      </c>
      <c r="GJ14" s="152">
        <f t="shared" si="133"/>
        <v>5576830.3138520019</v>
      </c>
      <c r="GK14" s="87">
        <f t="shared" si="120"/>
        <v>6919622.1024043895</v>
      </c>
      <c r="GL14" s="194">
        <f t="shared" si="121"/>
        <v>0.37871429021869302</v>
      </c>
      <c r="GM14" s="197"/>
      <c r="GN14" s="201">
        <v>6919622.0999999996</v>
      </c>
      <c r="GO14" s="197"/>
      <c r="GP14" s="201">
        <v>6369890.5899999999</v>
      </c>
      <c r="GQ14" s="197">
        <f t="shared" si="122"/>
        <v>549731.51240438968</v>
      </c>
      <c r="GR14" s="224">
        <f t="shared" si="123"/>
        <v>8.6301562740717372</v>
      </c>
    </row>
    <row r="15" spans="1:200" s="25" customFormat="1" x14ac:dyDescent="0.2">
      <c r="A15" s="171" t="s">
        <v>184</v>
      </c>
      <c r="B15" s="140" t="s">
        <v>8</v>
      </c>
      <c r="C15" s="140" t="s">
        <v>8</v>
      </c>
      <c r="D15" s="140" t="s">
        <v>8</v>
      </c>
      <c r="E15" s="140" t="s">
        <v>8</v>
      </c>
      <c r="F15" s="140" t="s">
        <v>8</v>
      </c>
      <c r="G15" s="96">
        <f>'Исходные данные'!C17</f>
        <v>331</v>
      </c>
      <c r="H15" s="31">
        <f>'Исходные данные'!D17</f>
        <v>200339.41</v>
      </c>
      <c r="I15" s="32">
        <f>'Расчет КРП'!G13</f>
        <v>12.489995996796797</v>
      </c>
      <c r="J15" s="103" t="s">
        <v>8</v>
      </c>
      <c r="K15" s="107">
        <f t="shared" si="124"/>
        <v>3.193910072232993E-2</v>
      </c>
      <c r="L15" s="76">
        <f t="shared" si="7"/>
        <v>259768.60433129175</v>
      </c>
      <c r="M15" s="72">
        <f t="shared" si="8"/>
        <v>7.3352697868474065E-2</v>
      </c>
      <c r="N15" s="30" t="s">
        <v>8</v>
      </c>
      <c r="O15" s="33">
        <f t="shared" si="9"/>
        <v>9.8414233264102424E-2</v>
      </c>
      <c r="P15" s="34">
        <f t="shared" si="10"/>
        <v>936613.44284254592</v>
      </c>
      <c r="Q15" s="79">
        <f t="shared" si="11"/>
        <v>936613.44284254592</v>
      </c>
      <c r="R15" s="145" t="s">
        <v>8</v>
      </c>
      <c r="S15" s="30" t="s">
        <v>8</v>
      </c>
      <c r="T15" s="35">
        <f t="shared" si="12"/>
        <v>0.2226722505657506</v>
      </c>
      <c r="U15" s="33">
        <f t="shared" si="13"/>
        <v>5.2938458108318404E-2</v>
      </c>
      <c r="V15" s="52">
        <f t="shared" si="14"/>
        <v>626114.58711178775</v>
      </c>
      <c r="W15" s="79">
        <f t="shared" si="15"/>
        <v>626114.58711178775</v>
      </c>
      <c r="X15" s="75" t="s">
        <v>8</v>
      </c>
      <c r="Y15" s="30" t="s">
        <v>8</v>
      </c>
      <c r="Z15" s="35">
        <f t="shared" si="16"/>
        <v>0.3224905382480564</v>
      </c>
      <c r="AA15" s="33">
        <f t="shared" si="17"/>
        <v>5.543234262401725E-2</v>
      </c>
      <c r="AB15" s="52">
        <f t="shared" si="18"/>
        <v>803360.33354071644</v>
      </c>
      <c r="AC15" s="79">
        <f t="shared" si="19"/>
        <v>359484.96569678927</v>
      </c>
      <c r="AD15" s="75" t="s">
        <v>8</v>
      </c>
      <c r="AE15" s="30" t="s">
        <v>8</v>
      </c>
      <c r="AF15" s="35">
        <f t="shared" si="20"/>
        <v>0.37980141146842311</v>
      </c>
      <c r="AG15" s="33">
        <f t="shared" si="21"/>
        <v>4.460508403279001E-2</v>
      </c>
      <c r="AH15" s="52">
        <f t="shared" si="22"/>
        <v>693277.59986943437</v>
      </c>
      <c r="AI15" s="79">
        <f t="shared" si="23"/>
        <v>0</v>
      </c>
      <c r="AJ15" s="75" t="s">
        <v>8</v>
      </c>
      <c r="AK15" s="30" t="s">
        <v>8</v>
      </c>
      <c r="AL15" s="35">
        <f t="shared" si="24"/>
        <v>0.37980141146842311</v>
      </c>
      <c r="AM15" s="33">
        <f t="shared" si="25"/>
        <v>4.460508403279001E-2</v>
      </c>
      <c r="AN15" s="52">
        <f t="shared" si="26"/>
        <v>693277.59986943437</v>
      </c>
      <c r="AO15" s="79">
        <f t="shared" si="27"/>
        <v>0</v>
      </c>
      <c r="AP15" s="75" t="s">
        <v>8</v>
      </c>
      <c r="AQ15" s="30" t="s">
        <v>8</v>
      </c>
      <c r="AR15" s="35">
        <f t="shared" si="28"/>
        <v>0.37980141146842311</v>
      </c>
      <c r="AS15" s="33">
        <f t="shared" si="29"/>
        <v>4.460508403279001E-2</v>
      </c>
      <c r="AT15" s="52">
        <f t="shared" si="30"/>
        <v>693277.59986943437</v>
      </c>
      <c r="AU15" s="79">
        <f t="shared" si="31"/>
        <v>0</v>
      </c>
      <c r="AV15" s="75" t="s">
        <v>8</v>
      </c>
      <c r="AW15" s="30" t="s">
        <v>8</v>
      </c>
      <c r="AX15" s="35">
        <f t="shared" si="32"/>
        <v>0.37980141146842311</v>
      </c>
      <c r="AY15" s="33">
        <f t="shared" si="33"/>
        <v>4.460508403279001E-2</v>
      </c>
      <c r="AZ15" s="52">
        <f t="shared" si="34"/>
        <v>693277.59986943437</v>
      </c>
      <c r="BA15" s="79">
        <f t="shared" si="35"/>
        <v>0</v>
      </c>
      <c r="BB15" s="75" t="s">
        <v>8</v>
      </c>
      <c r="BC15" s="30" t="s">
        <v>8</v>
      </c>
      <c r="BD15" s="35">
        <f t="shared" si="36"/>
        <v>0.37980141146842311</v>
      </c>
      <c r="BE15" s="33">
        <f t="shared" si="37"/>
        <v>4.460508403279001E-2</v>
      </c>
      <c r="BF15" s="52">
        <f t="shared" si="38"/>
        <v>693277.59986943437</v>
      </c>
      <c r="BG15" s="79">
        <f t="shared" si="39"/>
        <v>0</v>
      </c>
      <c r="BH15" s="75" t="s">
        <v>8</v>
      </c>
      <c r="BI15" s="30" t="s">
        <v>8</v>
      </c>
      <c r="BJ15" s="35">
        <f t="shared" si="40"/>
        <v>0.37980141146842311</v>
      </c>
      <c r="BK15" s="33">
        <f t="shared" si="41"/>
        <v>4.460508403279001E-2</v>
      </c>
      <c r="BL15" s="52">
        <f t="shared" si="42"/>
        <v>693277.59986943437</v>
      </c>
      <c r="BM15" s="79">
        <f t="shared" si="43"/>
        <v>0</v>
      </c>
      <c r="BN15" s="75" t="s">
        <v>8</v>
      </c>
      <c r="BO15" s="30" t="s">
        <v>8</v>
      </c>
      <c r="BP15" s="35">
        <f t="shared" si="44"/>
        <v>0.37980141146842311</v>
      </c>
      <c r="BQ15" s="33">
        <f t="shared" si="45"/>
        <v>4.460508403279001E-2</v>
      </c>
      <c r="BR15" s="52">
        <f t="shared" si="46"/>
        <v>693277.59986943437</v>
      </c>
      <c r="BS15" s="114">
        <f t="shared" si="47"/>
        <v>0</v>
      </c>
      <c r="BT15" s="75" t="s">
        <v>8</v>
      </c>
      <c r="BU15" s="30" t="s">
        <v>8</v>
      </c>
      <c r="BV15" s="35">
        <f t="shared" si="125"/>
        <v>0.37980141146842311</v>
      </c>
      <c r="BW15" s="33">
        <f t="shared" si="48"/>
        <v>4.460508403279001E-2</v>
      </c>
      <c r="BX15" s="52">
        <f t="shared" si="49"/>
        <v>693277.59986943437</v>
      </c>
      <c r="BY15" s="114">
        <f t="shared" si="50"/>
        <v>0</v>
      </c>
      <c r="BZ15" s="75" t="s">
        <v>8</v>
      </c>
      <c r="CA15" s="30" t="s">
        <v>8</v>
      </c>
      <c r="CB15" s="35">
        <f t="shared" si="126"/>
        <v>0.37980141146842311</v>
      </c>
      <c r="CC15" s="33">
        <f t="shared" si="51"/>
        <v>4.460508403279001E-2</v>
      </c>
      <c r="CD15" s="52">
        <f t="shared" si="52"/>
        <v>693277.59986943437</v>
      </c>
      <c r="CE15" s="114">
        <f t="shared" si="53"/>
        <v>0</v>
      </c>
      <c r="CF15" s="75" t="s">
        <v>8</v>
      </c>
      <c r="CG15" s="30" t="s">
        <v>8</v>
      </c>
      <c r="CH15" s="35">
        <f t="shared" si="54"/>
        <v>0.37980141146842311</v>
      </c>
      <c r="CI15" s="33">
        <f t="shared" si="55"/>
        <v>4.460508403279001E-2</v>
      </c>
      <c r="CJ15" s="52">
        <f t="shared" si="56"/>
        <v>693277.59986943437</v>
      </c>
      <c r="CK15" s="114">
        <f t="shared" si="57"/>
        <v>0</v>
      </c>
      <c r="CL15" s="75" t="s">
        <v>8</v>
      </c>
      <c r="CM15" s="30" t="s">
        <v>8</v>
      </c>
      <c r="CN15" s="35">
        <f t="shared" si="127"/>
        <v>0.37980141146842311</v>
      </c>
      <c r="CO15" s="33">
        <f t="shared" si="58"/>
        <v>4.460508403279001E-2</v>
      </c>
      <c r="CP15" s="52">
        <f t="shared" si="59"/>
        <v>693277.59986943437</v>
      </c>
      <c r="CQ15" s="114">
        <f t="shared" si="60"/>
        <v>0</v>
      </c>
      <c r="CR15" s="75" t="s">
        <v>8</v>
      </c>
      <c r="CS15" s="30" t="s">
        <v>8</v>
      </c>
      <c r="CT15" s="35">
        <f t="shared" si="128"/>
        <v>0.37980141146842311</v>
      </c>
      <c r="CU15" s="33">
        <f t="shared" si="61"/>
        <v>4.460508403279001E-2</v>
      </c>
      <c r="CV15" s="52">
        <f t="shared" si="62"/>
        <v>693277.59986943437</v>
      </c>
      <c r="CW15" s="114">
        <f t="shared" si="63"/>
        <v>0</v>
      </c>
      <c r="CX15" s="75" t="s">
        <v>8</v>
      </c>
      <c r="CY15" s="30" t="s">
        <v>8</v>
      </c>
      <c r="CZ15" s="35">
        <f t="shared" si="129"/>
        <v>0.37980141146842311</v>
      </c>
      <c r="DA15" s="33">
        <f t="shared" si="64"/>
        <v>4.460508403279001E-2</v>
      </c>
      <c r="DB15" s="52">
        <f t="shared" si="65"/>
        <v>693277.59986943437</v>
      </c>
      <c r="DC15" s="114">
        <f t="shared" si="66"/>
        <v>0</v>
      </c>
      <c r="DD15" s="75" t="s">
        <v>8</v>
      </c>
      <c r="DE15" s="30" t="s">
        <v>8</v>
      </c>
      <c r="DF15" s="35">
        <f t="shared" si="130"/>
        <v>0.37980141146842311</v>
      </c>
      <c r="DG15" s="33">
        <f t="shared" si="67"/>
        <v>4.460508403279001E-2</v>
      </c>
      <c r="DH15" s="52">
        <f t="shared" si="68"/>
        <v>693277.59986943437</v>
      </c>
      <c r="DI15" s="114">
        <f t="shared" si="69"/>
        <v>0</v>
      </c>
      <c r="DJ15" s="75" t="s">
        <v>8</v>
      </c>
      <c r="DK15" s="30" t="s">
        <v>8</v>
      </c>
      <c r="DL15" s="35">
        <f t="shared" si="131"/>
        <v>0.37980141146842311</v>
      </c>
      <c r="DM15" s="33">
        <f t="shared" si="70"/>
        <v>4.460508403279001E-2</v>
      </c>
      <c r="DN15" s="52">
        <f t="shared" si="71"/>
        <v>693277.59986943437</v>
      </c>
      <c r="DO15" s="114">
        <f t="shared" si="72"/>
        <v>0</v>
      </c>
      <c r="DP15" s="75" t="s">
        <v>8</v>
      </c>
      <c r="DQ15" s="30" t="s">
        <v>8</v>
      </c>
      <c r="DR15" s="35">
        <f t="shared" si="132"/>
        <v>0.37980141146842311</v>
      </c>
      <c r="DS15" s="33">
        <f t="shared" si="73"/>
        <v>4.460508403279001E-2</v>
      </c>
      <c r="DT15" s="52">
        <f t="shared" si="74"/>
        <v>693277.59986943437</v>
      </c>
      <c r="DU15" s="114">
        <f t="shared" si="75"/>
        <v>0</v>
      </c>
      <c r="DV15" s="75" t="s">
        <v>8</v>
      </c>
      <c r="DW15" s="30" t="s">
        <v>8</v>
      </c>
      <c r="DX15" s="35">
        <f t="shared" si="76"/>
        <v>0.37980141146842311</v>
      </c>
      <c r="DY15" s="33">
        <f t="shared" si="77"/>
        <v>4.460508403279001E-2</v>
      </c>
      <c r="DZ15" s="34">
        <f t="shared" si="78"/>
        <v>693277.59986943437</v>
      </c>
      <c r="EA15" s="79">
        <f t="shared" si="79"/>
        <v>0</v>
      </c>
      <c r="EB15" s="75" t="s">
        <v>8</v>
      </c>
      <c r="EC15" s="30" t="s">
        <v>8</v>
      </c>
      <c r="ED15" s="35">
        <f t="shared" si="80"/>
        <v>0.37980141146842311</v>
      </c>
      <c r="EE15" s="33">
        <f t="shared" si="81"/>
        <v>4.460508403279001E-2</v>
      </c>
      <c r="EF15" s="34">
        <f t="shared" si="82"/>
        <v>693277.59986943437</v>
      </c>
      <c r="EG15" s="79">
        <f t="shared" si="83"/>
        <v>0</v>
      </c>
      <c r="EH15" s="75" t="s">
        <v>8</v>
      </c>
      <c r="EI15" s="30" t="s">
        <v>8</v>
      </c>
      <c r="EJ15" s="35">
        <f t="shared" si="84"/>
        <v>0.37980141146842311</v>
      </c>
      <c r="EK15" s="33">
        <f t="shared" si="85"/>
        <v>4.460508403279001E-2</v>
      </c>
      <c r="EL15" s="34">
        <f t="shared" si="86"/>
        <v>693277.59986943437</v>
      </c>
      <c r="EM15" s="79">
        <f t="shared" si="87"/>
        <v>0</v>
      </c>
      <c r="EN15" s="75" t="s">
        <v>8</v>
      </c>
      <c r="EO15" s="30" t="s">
        <v>8</v>
      </c>
      <c r="EP15" s="35">
        <f t="shared" si="88"/>
        <v>0.37980141146842311</v>
      </c>
      <c r="EQ15" s="33">
        <f t="shared" si="89"/>
        <v>4.460508403279001E-2</v>
      </c>
      <c r="ER15" s="34">
        <f t="shared" si="90"/>
        <v>693277.59986943437</v>
      </c>
      <c r="ES15" s="79">
        <f t="shared" si="91"/>
        <v>0</v>
      </c>
      <c r="ET15" s="75" t="s">
        <v>8</v>
      </c>
      <c r="EU15" s="30" t="s">
        <v>8</v>
      </c>
      <c r="EV15" s="35">
        <f t="shared" si="92"/>
        <v>0.37980141146842311</v>
      </c>
      <c r="EW15" s="33">
        <f t="shared" si="93"/>
        <v>4.460508403279001E-2</v>
      </c>
      <c r="EX15" s="34">
        <f t="shared" si="94"/>
        <v>693277.59986943437</v>
      </c>
      <c r="EY15" s="79">
        <f t="shared" si="95"/>
        <v>0</v>
      </c>
      <c r="EZ15" s="75" t="s">
        <v>8</v>
      </c>
      <c r="FA15" s="30" t="s">
        <v>8</v>
      </c>
      <c r="FB15" s="35">
        <f t="shared" si="96"/>
        <v>0.37980141146842311</v>
      </c>
      <c r="FC15" s="33">
        <f t="shared" si="97"/>
        <v>4.460508403279001E-2</v>
      </c>
      <c r="FD15" s="34">
        <f t="shared" si="98"/>
        <v>693277.59986943437</v>
      </c>
      <c r="FE15" s="79">
        <f t="shared" si="99"/>
        <v>0</v>
      </c>
      <c r="FF15" s="75" t="s">
        <v>8</v>
      </c>
      <c r="FG15" s="30" t="s">
        <v>8</v>
      </c>
      <c r="FH15" s="35">
        <f t="shared" si="100"/>
        <v>0.37980141146842311</v>
      </c>
      <c r="FI15" s="33">
        <f t="shared" si="101"/>
        <v>4.460508403279001E-2</v>
      </c>
      <c r="FJ15" s="34">
        <f t="shared" si="102"/>
        <v>693277.59986943437</v>
      </c>
      <c r="FK15" s="79">
        <f t="shared" si="103"/>
        <v>0</v>
      </c>
      <c r="FL15" s="75" t="s">
        <v>8</v>
      </c>
      <c r="FM15" s="30" t="s">
        <v>8</v>
      </c>
      <c r="FN15" s="35">
        <f t="shared" si="104"/>
        <v>0.37980141146842311</v>
      </c>
      <c r="FO15" s="33">
        <f t="shared" si="105"/>
        <v>4.460508403279001E-2</v>
      </c>
      <c r="FP15" s="34">
        <f t="shared" si="106"/>
        <v>693277.59986943437</v>
      </c>
      <c r="FQ15" s="79">
        <f t="shared" si="107"/>
        <v>0</v>
      </c>
      <c r="FR15" s="75" t="s">
        <v>8</v>
      </c>
      <c r="FS15" s="30" t="s">
        <v>8</v>
      </c>
      <c r="FT15" s="35">
        <f t="shared" si="108"/>
        <v>0.37980141146842311</v>
      </c>
      <c r="FU15" s="33">
        <f t="shared" si="109"/>
        <v>4.460508403279001E-2</v>
      </c>
      <c r="FV15" s="34">
        <f t="shared" si="110"/>
        <v>693277.59986943437</v>
      </c>
      <c r="FW15" s="79">
        <f t="shared" si="111"/>
        <v>0</v>
      </c>
      <c r="FX15" s="75" t="s">
        <v>8</v>
      </c>
      <c r="FY15" s="30" t="s">
        <v>8</v>
      </c>
      <c r="FZ15" s="35">
        <f t="shared" si="112"/>
        <v>0.37980141146842311</v>
      </c>
      <c r="GA15" s="33">
        <f t="shared" si="113"/>
        <v>4.460508403279001E-2</v>
      </c>
      <c r="GB15" s="34">
        <f t="shared" si="114"/>
        <v>693277.59986943437</v>
      </c>
      <c r="GC15" s="79">
        <f t="shared" si="115"/>
        <v>0</v>
      </c>
      <c r="GD15" s="75" t="s">
        <v>8</v>
      </c>
      <c r="GE15" s="30" t="s">
        <v>8</v>
      </c>
      <c r="GF15" s="35">
        <f t="shared" si="116"/>
        <v>0.37980141146842311</v>
      </c>
      <c r="GG15" s="33">
        <f t="shared" si="117"/>
        <v>4.460508403279001E-2</v>
      </c>
      <c r="GH15" s="34">
        <f t="shared" si="118"/>
        <v>693277.59986943437</v>
      </c>
      <c r="GI15" s="114">
        <f t="shared" si="119"/>
        <v>0</v>
      </c>
      <c r="GJ15" s="152">
        <f t="shared" si="133"/>
        <v>1922212.9956511231</v>
      </c>
      <c r="GK15" s="87">
        <f t="shared" si="120"/>
        <v>2181981.5999824149</v>
      </c>
      <c r="GL15" s="194">
        <f t="shared" si="121"/>
        <v>0.37980141146842317</v>
      </c>
      <c r="GM15" s="197"/>
      <c r="GN15" s="201">
        <v>2181981.6</v>
      </c>
      <c r="GO15" s="197"/>
      <c r="GP15" s="201">
        <v>1959145.86</v>
      </c>
      <c r="GQ15" s="197">
        <f t="shared" si="122"/>
        <v>222835.73998241476</v>
      </c>
      <c r="GR15" s="224">
        <f t="shared" si="123"/>
        <v>11.374127089364066</v>
      </c>
    </row>
    <row r="16" spans="1:200" s="25" customFormat="1" x14ac:dyDescent="0.2">
      <c r="A16" s="171" t="s">
        <v>185</v>
      </c>
      <c r="B16" s="140" t="s">
        <v>8</v>
      </c>
      <c r="C16" s="140" t="s">
        <v>8</v>
      </c>
      <c r="D16" s="140" t="s">
        <v>8</v>
      </c>
      <c r="E16" s="140" t="s">
        <v>8</v>
      </c>
      <c r="F16" s="140" t="s">
        <v>8</v>
      </c>
      <c r="G16" s="96">
        <f>'Исходные данные'!C18</f>
        <v>1380</v>
      </c>
      <c r="H16" s="31">
        <f>'Исходные данные'!D18</f>
        <v>1064758.95</v>
      </c>
      <c r="I16" s="32">
        <f>'Расчет КРП'!G14</f>
        <v>8.1904415835370763</v>
      </c>
      <c r="J16" s="103" t="s">
        <v>8</v>
      </c>
      <c r="K16" s="107">
        <f t="shared" si="124"/>
        <v>6.2088544946719046E-2</v>
      </c>
      <c r="L16" s="76">
        <f t="shared" si="7"/>
        <v>1083023.1842210954</v>
      </c>
      <c r="M16" s="72">
        <f t="shared" si="8"/>
        <v>0.12524211942651117</v>
      </c>
      <c r="N16" s="30" t="s">
        <v>8</v>
      </c>
      <c r="O16" s="33">
        <f t="shared" si="9"/>
        <v>4.6524811706065317E-2</v>
      </c>
      <c r="P16" s="34">
        <f t="shared" si="10"/>
        <v>1210551.3272772641</v>
      </c>
      <c r="Q16" s="79">
        <f t="shared" si="11"/>
        <v>1210551.3272772641</v>
      </c>
      <c r="R16" s="145" t="s">
        <v>8</v>
      </c>
      <c r="S16" s="30" t="s">
        <v>8</v>
      </c>
      <c r="T16" s="35">
        <f t="shared" si="12"/>
        <v>0.19583215343746249</v>
      </c>
      <c r="U16" s="33">
        <f t="shared" si="13"/>
        <v>7.9778555236606513E-2</v>
      </c>
      <c r="V16" s="52">
        <f t="shared" si="14"/>
        <v>2579673.9131647744</v>
      </c>
      <c r="W16" s="79">
        <f t="shared" si="15"/>
        <v>2579673.9131647744</v>
      </c>
      <c r="X16" s="75" t="s">
        <v>8</v>
      </c>
      <c r="Y16" s="30" t="s">
        <v>8</v>
      </c>
      <c r="Z16" s="35">
        <f t="shared" si="16"/>
        <v>0.34625887650507298</v>
      </c>
      <c r="AA16" s="33">
        <f t="shared" si="17"/>
        <v>3.1664004367000675E-2</v>
      </c>
      <c r="AB16" s="52">
        <f t="shared" si="18"/>
        <v>1254611.0232937494</v>
      </c>
      <c r="AC16" s="79">
        <f t="shared" si="19"/>
        <v>561409.09855951776</v>
      </c>
      <c r="AD16" s="75" t="s">
        <v>8</v>
      </c>
      <c r="AE16" s="30" t="s">
        <v>8</v>
      </c>
      <c r="AF16" s="35">
        <f t="shared" si="20"/>
        <v>0.3789959331406707</v>
      </c>
      <c r="AG16" s="33">
        <f t="shared" si="21"/>
        <v>4.5410562360542417E-2</v>
      </c>
      <c r="AH16" s="52">
        <f t="shared" si="22"/>
        <v>1929637.7958888011</v>
      </c>
      <c r="AI16" s="79">
        <f t="shared" si="23"/>
        <v>0</v>
      </c>
      <c r="AJ16" s="75" t="s">
        <v>8</v>
      </c>
      <c r="AK16" s="30" t="s">
        <v>8</v>
      </c>
      <c r="AL16" s="35">
        <f t="shared" si="24"/>
        <v>0.3789959331406707</v>
      </c>
      <c r="AM16" s="33">
        <f t="shared" si="25"/>
        <v>4.5410562360542417E-2</v>
      </c>
      <c r="AN16" s="52">
        <f t="shared" si="26"/>
        <v>1929637.7958888011</v>
      </c>
      <c r="AO16" s="79">
        <f t="shared" si="27"/>
        <v>0</v>
      </c>
      <c r="AP16" s="75" t="s">
        <v>8</v>
      </c>
      <c r="AQ16" s="30" t="s">
        <v>8</v>
      </c>
      <c r="AR16" s="35">
        <f t="shared" si="28"/>
        <v>0.3789959331406707</v>
      </c>
      <c r="AS16" s="33">
        <f t="shared" si="29"/>
        <v>4.5410562360542417E-2</v>
      </c>
      <c r="AT16" s="52">
        <f t="shared" si="30"/>
        <v>1929637.7958888011</v>
      </c>
      <c r="AU16" s="79">
        <f t="shared" si="31"/>
        <v>0</v>
      </c>
      <c r="AV16" s="75" t="s">
        <v>8</v>
      </c>
      <c r="AW16" s="30" t="s">
        <v>8</v>
      </c>
      <c r="AX16" s="35">
        <f t="shared" si="32"/>
        <v>0.3789959331406707</v>
      </c>
      <c r="AY16" s="33">
        <f t="shared" si="33"/>
        <v>4.5410562360542417E-2</v>
      </c>
      <c r="AZ16" s="52">
        <f t="shared" si="34"/>
        <v>1929637.7958888011</v>
      </c>
      <c r="BA16" s="79">
        <f t="shared" si="35"/>
        <v>0</v>
      </c>
      <c r="BB16" s="75" t="s">
        <v>8</v>
      </c>
      <c r="BC16" s="30" t="s">
        <v>8</v>
      </c>
      <c r="BD16" s="35">
        <f t="shared" si="36"/>
        <v>0.3789959331406707</v>
      </c>
      <c r="BE16" s="33">
        <f t="shared" si="37"/>
        <v>4.5410562360542417E-2</v>
      </c>
      <c r="BF16" s="52">
        <f t="shared" si="38"/>
        <v>1929637.7958888011</v>
      </c>
      <c r="BG16" s="79">
        <f t="shared" si="39"/>
        <v>0</v>
      </c>
      <c r="BH16" s="75" t="s">
        <v>8</v>
      </c>
      <c r="BI16" s="30" t="s">
        <v>8</v>
      </c>
      <c r="BJ16" s="35">
        <f t="shared" si="40"/>
        <v>0.3789959331406707</v>
      </c>
      <c r="BK16" s="33">
        <f t="shared" si="41"/>
        <v>4.5410562360542417E-2</v>
      </c>
      <c r="BL16" s="52">
        <f t="shared" si="42"/>
        <v>1929637.7958888011</v>
      </c>
      <c r="BM16" s="79">
        <f t="shared" si="43"/>
        <v>0</v>
      </c>
      <c r="BN16" s="75" t="s">
        <v>8</v>
      </c>
      <c r="BO16" s="30" t="s">
        <v>8</v>
      </c>
      <c r="BP16" s="35">
        <f t="shared" si="44"/>
        <v>0.3789959331406707</v>
      </c>
      <c r="BQ16" s="33">
        <f t="shared" si="45"/>
        <v>4.5410562360542417E-2</v>
      </c>
      <c r="BR16" s="52">
        <f t="shared" si="46"/>
        <v>1929637.7958888011</v>
      </c>
      <c r="BS16" s="114">
        <f t="shared" si="47"/>
        <v>0</v>
      </c>
      <c r="BT16" s="75" t="s">
        <v>8</v>
      </c>
      <c r="BU16" s="30" t="s">
        <v>8</v>
      </c>
      <c r="BV16" s="35">
        <f t="shared" si="125"/>
        <v>0.3789959331406707</v>
      </c>
      <c r="BW16" s="33">
        <f t="shared" si="48"/>
        <v>4.5410562360542417E-2</v>
      </c>
      <c r="BX16" s="52">
        <f t="shared" si="49"/>
        <v>1929637.7958888011</v>
      </c>
      <c r="BY16" s="114">
        <f t="shared" si="50"/>
        <v>0</v>
      </c>
      <c r="BZ16" s="75" t="s">
        <v>8</v>
      </c>
      <c r="CA16" s="30" t="s">
        <v>8</v>
      </c>
      <c r="CB16" s="35">
        <f t="shared" si="126"/>
        <v>0.3789959331406707</v>
      </c>
      <c r="CC16" s="33">
        <f t="shared" si="51"/>
        <v>4.5410562360542417E-2</v>
      </c>
      <c r="CD16" s="52">
        <f t="shared" si="52"/>
        <v>1929637.7958888011</v>
      </c>
      <c r="CE16" s="114">
        <f t="shared" si="53"/>
        <v>0</v>
      </c>
      <c r="CF16" s="75" t="s">
        <v>8</v>
      </c>
      <c r="CG16" s="30" t="s">
        <v>8</v>
      </c>
      <c r="CH16" s="35">
        <f t="shared" si="54"/>
        <v>0.3789959331406707</v>
      </c>
      <c r="CI16" s="33">
        <f t="shared" si="55"/>
        <v>4.5410562360542417E-2</v>
      </c>
      <c r="CJ16" s="52">
        <f t="shared" si="56"/>
        <v>1929637.7958888011</v>
      </c>
      <c r="CK16" s="114">
        <f t="shared" si="57"/>
        <v>0</v>
      </c>
      <c r="CL16" s="75" t="s">
        <v>8</v>
      </c>
      <c r="CM16" s="30" t="s">
        <v>8</v>
      </c>
      <c r="CN16" s="35">
        <f t="shared" si="127"/>
        <v>0.3789959331406707</v>
      </c>
      <c r="CO16" s="33">
        <f t="shared" si="58"/>
        <v>4.5410562360542417E-2</v>
      </c>
      <c r="CP16" s="52">
        <f t="shared" si="59"/>
        <v>1929637.7958888011</v>
      </c>
      <c r="CQ16" s="114">
        <f t="shared" si="60"/>
        <v>0</v>
      </c>
      <c r="CR16" s="75" t="s">
        <v>8</v>
      </c>
      <c r="CS16" s="30" t="s">
        <v>8</v>
      </c>
      <c r="CT16" s="35">
        <f t="shared" si="128"/>
        <v>0.3789959331406707</v>
      </c>
      <c r="CU16" s="33">
        <f t="shared" si="61"/>
        <v>4.5410562360542417E-2</v>
      </c>
      <c r="CV16" s="52">
        <f t="shared" si="62"/>
        <v>1929637.7958888011</v>
      </c>
      <c r="CW16" s="114">
        <f t="shared" si="63"/>
        <v>0</v>
      </c>
      <c r="CX16" s="75" t="s">
        <v>8</v>
      </c>
      <c r="CY16" s="30" t="s">
        <v>8</v>
      </c>
      <c r="CZ16" s="35">
        <f t="shared" si="129"/>
        <v>0.3789959331406707</v>
      </c>
      <c r="DA16" s="33">
        <f t="shared" si="64"/>
        <v>4.5410562360542417E-2</v>
      </c>
      <c r="DB16" s="52">
        <f t="shared" si="65"/>
        <v>1929637.7958888011</v>
      </c>
      <c r="DC16" s="114">
        <f t="shared" si="66"/>
        <v>0</v>
      </c>
      <c r="DD16" s="75" t="s">
        <v>8</v>
      </c>
      <c r="DE16" s="30" t="s">
        <v>8</v>
      </c>
      <c r="DF16" s="35">
        <f t="shared" si="130"/>
        <v>0.3789959331406707</v>
      </c>
      <c r="DG16" s="33">
        <f t="shared" si="67"/>
        <v>4.5410562360542417E-2</v>
      </c>
      <c r="DH16" s="52">
        <f t="shared" si="68"/>
        <v>1929637.7958888011</v>
      </c>
      <c r="DI16" s="114">
        <f t="shared" si="69"/>
        <v>0</v>
      </c>
      <c r="DJ16" s="75" t="s">
        <v>8</v>
      </c>
      <c r="DK16" s="30" t="s">
        <v>8</v>
      </c>
      <c r="DL16" s="35">
        <f t="shared" si="131"/>
        <v>0.3789959331406707</v>
      </c>
      <c r="DM16" s="33">
        <f t="shared" si="70"/>
        <v>4.5410562360542417E-2</v>
      </c>
      <c r="DN16" s="52">
        <f t="shared" si="71"/>
        <v>1929637.7958888011</v>
      </c>
      <c r="DO16" s="114">
        <f t="shared" si="72"/>
        <v>0</v>
      </c>
      <c r="DP16" s="75" t="s">
        <v>8</v>
      </c>
      <c r="DQ16" s="30" t="s">
        <v>8</v>
      </c>
      <c r="DR16" s="35">
        <f t="shared" si="132"/>
        <v>0.3789959331406707</v>
      </c>
      <c r="DS16" s="33">
        <f t="shared" si="73"/>
        <v>4.5410562360542417E-2</v>
      </c>
      <c r="DT16" s="52">
        <f t="shared" si="74"/>
        <v>1929637.7958888011</v>
      </c>
      <c r="DU16" s="114">
        <f t="shared" si="75"/>
        <v>0</v>
      </c>
      <c r="DV16" s="75" t="s">
        <v>8</v>
      </c>
      <c r="DW16" s="30" t="s">
        <v>8</v>
      </c>
      <c r="DX16" s="35">
        <f t="shared" si="76"/>
        <v>0.3789959331406707</v>
      </c>
      <c r="DY16" s="33">
        <f t="shared" si="77"/>
        <v>4.5410562360542417E-2</v>
      </c>
      <c r="DZ16" s="34">
        <f t="shared" si="78"/>
        <v>1929637.7958888011</v>
      </c>
      <c r="EA16" s="79">
        <f t="shared" si="79"/>
        <v>0</v>
      </c>
      <c r="EB16" s="75" t="s">
        <v>8</v>
      </c>
      <c r="EC16" s="30" t="s">
        <v>8</v>
      </c>
      <c r="ED16" s="35">
        <f t="shared" si="80"/>
        <v>0.3789959331406707</v>
      </c>
      <c r="EE16" s="33">
        <f t="shared" si="81"/>
        <v>4.5410562360542417E-2</v>
      </c>
      <c r="EF16" s="34">
        <f t="shared" si="82"/>
        <v>1929637.7958888011</v>
      </c>
      <c r="EG16" s="79">
        <f t="shared" si="83"/>
        <v>0</v>
      </c>
      <c r="EH16" s="75" t="s">
        <v>8</v>
      </c>
      <c r="EI16" s="30" t="s">
        <v>8</v>
      </c>
      <c r="EJ16" s="35">
        <f t="shared" si="84"/>
        <v>0.3789959331406707</v>
      </c>
      <c r="EK16" s="33">
        <f t="shared" si="85"/>
        <v>4.5410562360542417E-2</v>
      </c>
      <c r="EL16" s="34">
        <f t="shared" si="86"/>
        <v>1929637.7958888011</v>
      </c>
      <c r="EM16" s="79">
        <f t="shared" si="87"/>
        <v>0</v>
      </c>
      <c r="EN16" s="75" t="s">
        <v>8</v>
      </c>
      <c r="EO16" s="30" t="s">
        <v>8</v>
      </c>
      <c r="EP16" s="35">
        <f t="shared" si="88"/>
        <v>0.3789959331406707</v>
      </c>
      <c r="EQ16" s="33">
        <f t="shared" si="89"/>
        <v>4.5410562360542417E-2</v>
      </c>
      <c r="ER16" s="34">
        <f t="shared" si="90"/>
        <v>1929637.7958888011</v>
      </c>
      <c r="ES16" s="79">
        <f t="shared" si="91"/>
        <v>0</v>
      </c>
      <c r="ET16" s="75" t="s">
        <v>8</v>
      </c>
      <c r="EU16" s="30" t="s">
        <v>8</v>
      </c>
      <c r="EV16" s="35">
        <f t="shared" si="92"/>
        <v>0.3789959331406707</v>
      </c>
      <c r="EW16" s="33">
        <f t="shared" si="93"/>
        <v>4.5410562360542417E-2</v>
      </c>
      <c r="EX16" s="34">
        <f t="shared" si="94"/>
        <v>1929637.7958888011</v>
      </c>
      <c r="EY16" s="79">
        <f t="shared" si="95"/>
        <v>0</v>
      </c>
      <c r="EZ16" s="75" t="s">
        <v>8</v>
      </c>
      <c r="FA16" s="30" t="s">
        <v>8</v>
      </c>
      <c r="FB16" s="35">
        <f t="shared" si="96"/>
        <v>0.3789959331406707</v>
      </c>
      <c r="FC16" s="33">
        <f t="shared" si="97"/>
        <v>4.5410562360542417E-2</v>
      </c>
      <c r="FD16" s="34">
        <f t="shared" si="98"/>
        <v>1929637.7958888011</v>
      </c>
      <c r="FE16" s="79">
        <f t="shared" si="99"/>
        <v>0</v>
      </c>
      <c r="FF16" s="75" t="s">
        <v>8</v>
      </c>
      <c r="FG16" s="30" t="s">
        <v>8</v>
      </c>
      <c r="FH16" s="35">
        <f t="shared" si="100"/>
        <v>0.3789959331406707</v>
      </c>
      <c r="FI16" s="33">
        <f t="shared" si="101"/>
        <v>4.5410562360542417E-2</v>
      </c>
      <c r="FJ16" s="34">
        <f t="shared" si="102"/>
        <v>1929637.7958888011</v>
      </c>
      <c r="FK16" s="79">
        <f t="shared" si="103"/>
        <v>0</v>
      </c>
      <c r="FL16" s="75" t="s">
        <v>8</v>
      </c>
      <c r="FM16" s="30" t="s">
        <v>8</v>
      </c>
      <c r="FN16" s="35">
        <f t="shared" si="104"/>
        <v>0.3789959331406707</v>
      </c>
      <c r="FO16" s="33">
        <f t="shared" si="105"/>
        <v>4.5410562360542417E-2</v>
      </c>
      <c r="FP16" s="34">
        <f t="shared" si="106"/>
        <v>1929637.7958888011</v>
      </c>
      <c r="FQ16" s="79">
        <f t="shared" si="107"/>
        <v>0</v>
      </c>
      <c r="FR16" s="75" t="s">
        <v>8</v>
      </c>
      <c r="FS16" s="30" t="s">
        <v>8</v>
      </c>
      <c r="FT16" s="35">
        <f t="shared" si="108"/>
        <v>0.3789959331406707</v>
      </c>
      <c r="FU16" s="33">
        <f t="shared" si="109"/>
        <v>4.5410562360542417E-2</v>
      </c>
      <c r="FV16" s="34">
        <f t="shared" si="110"/>
        <v>1929637.7958888011</v>
      </c>
      <c r="FW16" s="79">
        <f t="shared" si="111"/>
        <v>0</v>
      </c>
      <c r="FX16" s="75" t="s">
        <v>8</v>
      </c>
      <c r="FY16" s="30" t="s">
        <v>8</v>
      </c>
      <c r="FZ16" s="35">
        <f t="shared" si="112"/>
        <v>0.3789959331406707</v>
      </c>
      <c r="GA16" s="33">
        <f t="shared" si="113"/>
        <v>4.5410562360542417E-2</v>
      </c>
      <c r="GB16" s="34">
        <f t="shared" si="114"/>
        <v>1929637.7958888011</v>
      </c>
      <c r="GC16" s="79">
        <f t="shared" si="115"/>
        <v>0</v>
      </c>
      <c r="GD16" s="75" t="s">
        <v>8</v>
      </c>
      <c r="GE16" s="30" t="s">
        <v>8</v>
      </c>
      <c r="GF16" s="35">
        <f t="shared" si="116"/>
        <v>0.3789959331406707</v>
      </c>
      <c r="GG16" s="33">
        <f t="shared" si="117"/>
        <v>4.5410562360542417E-2</v>
      </c>
      <c r="GH16" s="34">
        <f t="shared" si="118"/>
        <v>1929637.7958888011</v>
      </c>
      <c r="GI16" s="114">
        <f t="shared" si="119"/>
        <v>0</v>
      </c>
      <c r="GJ16" s="152">
        <f t="shared" si="133"/>
        <v>4351634.3390015559</v>
      </c>
      <c r="GK16" s="87">
        <f t="shared" si="120"/>
        <v>5434657.5232226513</v>
      </c>
      <c r="GL16" s="194">
        <f t="shared" si="121"/>
        <v>0.37899593314067076</v>
      </c>
      <c r="GM16" s="197"/>
      <c r="GN16" s="201">
        <v>5434657.5199999996</v>
      </c>
      <c r="GO16" s="197"/>
      <c r="GP16" s="201">
        <v>5246498.58</v>
      </c>
      <c r="GQ16" s="197">
        <f t="shared" si="122"/>
        <v>188158.94322265126</v>
      </c>
      <c r="GR16" s="224">
        <f t="shared" si="123"/>
        <v>3.5863717554394299</v>
      </c>
    </row>
    <row r="17" spans="1:200" s="25" customFormat="1" x14ac:dyDescent="0.2">
      <c r="A17" s="171" t="s">
        <v>186</v>
      </c>
      <c r="B17" s="140" t="s">
        <v>8</v>
      </c>
      <c r="C17" s="140" t="s">
        <v>8</v>
      </c>
      <c r="D17" s="140" t="s">
        <v>8</v>
      </c>
      <c r="E17" s="140" t="s">
        <v>8</v>
      </c>
      <c r="F17" s="140" t="s">
        <v>8</v>
      </c>
      <c r="G17" s="96">
        <f>'Исходные данные'!C19</f>
        <v>390</v>
      </c>
      <c r="H17" s="31">
        <f>'Исходные данные'!D19</f>
        <v>2103092.98</v>
      </c>
      <c r="I17" s="32">
        <f>'Расчет КРП'!G15</f>
        <v>17.126976771553505</v>
      </c>
      <c r="J17" s="103" t="s">
        <v>8</v>
      </c>
      <c r="K17" s="107">
        <f t="shared" si="124"/>
        <v>0.20751989761977996</v>
      </c>
      <c r="L17" s="76">
        <f t="shared" si="7"/>
        <v>306071.76945378783</v>
      </c>
      <c r="M17" s="72">
        <f t="shared" si="8"/>
        <v>0.23772112165760401</v>
      </c>
      <c r="N17" s="30" t="s">
        <v>8</v>
      </c>
      <c r="O17" s="33">
        <f t="shared" si="9"/>
        <v>-6.5954190525027517E-2</v>
      </c>
      <c r="P17" s="34">
        <f t="shared" si="10"/>
        <v>0</v>
      </c>
      <c r="Q17" s="79">
        <f t="shared" si="11"/>
        <v>0</v>
      </c>
      <c r="R17" s="145" t="s">
        <v>8</v>
      </c>
      <c r="S17" s="30" t="s">
        <v>8</v>
      </c>
      <c r="T17" s="35">
        <f t="shared" si="12"/>
        <v>0.23772112165760401</v>
      </c>
      <c r="U17" s="33">
        <f t="shared" si="13"/>
        <v>3.7889587016464998E-2</v>
      </c>
      <c r="V17" s="52">
        <f t="shared" si="14"/>
        <v>724031.44568032643</v>
      </c>
      <c r="W17" s="79">
        <f t="shared" si="15"/>
        <v>724031.44568032643</v>
      </c>
      <c r="X17" s="75" t="s">
        <v>8</v>
      </c>
      <c r="Y17" s="30" t="s">
        <v>8</v>
      </c>
      <c r="Z17" s="35">
        <f t="shared" si="16"/>
        <v>0.30916395985350847</v>
      </c>
      <c r="AA17" s="33">
        <f t="shared" si="17"/>
        <v>6.8758921018565178E-2</v>
      </c>
      <c r="AB17" s="52">
        <f t="shared" si="18"/>
        <v>1610019.8387477626</v>
      </c>
      <c r="AC17" s="79">
        <f t="shared" si="19"/>
        <v>720446.2335755286</v>
      </c>
      <c r="AD17" s="75" t="s">
        <v>8</v>
      </c>
      <c r="AE17" s="30" t="s">
        <v>8</v>
      </c>
      <c r="AF17" s="35">
        <f t="shared" si="20"/>
        <v>0.38025303202194388</v>
      </c>
      <c r="AG17" s="33">
        <f t="shared" si="21"/>
        <v>4.4153463479269239E-2</v>
      </c>
      <c r="AH17" s="52">
        <f t="shared" si="22"/>
        <v>1108772.9065362704</v>
      </c>
      <c r="AI17" s="79">
        <f t="shared" si="23"/>
        <v>0</v>
      </c>
      <c r="AJ17" s="75" t="s">
        <v>8</v>
      </c>
      <c r="AK17" s="30" t="s">
        <v>8</v>
      </c>
      <c r="AL17" s="35">
        <f t="shared" si="24"/>
        <v>0.38025303202194388</v>
      </c>
      <c r="AM17" s="33">
        <f t="shared" si="25"/>
        <v>4.4153463479269239E-2</v>
      </c>
      <c r="AN17" s="52">
        <f t="shared" si="26"/>
        <v>1108772.9065362704</v>
      </c>
      <c r="AO17" s="79">
        <f t="shared" si="27"/>
        <v>0</v>
      </c>
      <c r="AP17" s="75" t="s">
        <v>8</v>
      </c>
      <c r="AQ17" s="30" t="s">
        <v>8</v>
      </c>
      <c r="AR17" s="35">
        <f t="shared" si="28"/>
        <v>0.38025303202194388</v>
      </c>
      <c r="AS17" s="33">
        <f t="shared" si="29"/>
        <v>4.4153463479269239E-2</v>
      </c>
      <c r="AT17" s="52">
        <f t="shared" si="30"/>
        <v>1108772.9065362704</v>
      </c>
      <c r="AU17" s="79">
        <f t="shared" si="31"/>
        <v>0</v>
      </c>
      <c r="AV17" s="75" t="s">
        <v>8</v>
      </c>
      <c r="AW17" s="30" t="s">
        <v>8</v>
      </c>
      <c r="AX17" s="35">
        <f t="shared" si="32"/>
        <v>0.38025303202194388</v>
      </c>
      <c r="AY17" s="33">
        <f t="shared" si="33"/>
        <v>4.4153463479269239E-2</v>
      </c>
      <c r="AZ17" s="52">
        <f t="shared" si="34"/>
        <v>1108772.9065362704</v>
      </c>
      <c r="BA17" s="79">
        <f t="shared" si="35"/>
        <v>0</v>
      </c>
      <c r="BB17" s="75" t="s">
        <v>8</v>
      </c>
      <c r="BC17" s="30" t="s">
        <v>8</v>
      </c>
      <c r="BD17" s="35">
        <f t="shared" si="36"/>
        <v>0.38025303202194388</v>
      </c>
      <c r="BE17" s="33">
        <f t="shared" si="37"/>
        <v>4.4153463479269239E-2</v>
      </c>
      <c r="BF17" s="52">
        <f t="shared" si="38"/>
        <v>1108772.9065362704</v>
      </c>
      <c r="BG17" s="79">
        <f t="shared" si="39"/>
        <v>0</v>
      </c>
      <c r="BH17" s="75" t="s">
        <v>8</v>
      </c>
      <c r="BI17" s="30" t="s">
        <v>8</v>
      </c>
      <c r="BJ17" s="35">
        <f t="shared" si="40"/>
        <v>0.38025303202194388</v>
      </c>
      <c r="BK17" s="33">
        <f t="shared" si="41"/>
        <v>4.4153463479269239E-2</v>
      </c>
      <c r="BL17" s="52">
        <f t="shared" si="42"/>
        <v>1108772.9065362704</v>
      </c>
      <c r="BM17" s="79">
        <f t="shared" si="43"/>
        <v>0</v>
      </c>
      <c r="BN17" s="75" t="s">
        <v>8</v>
      </c>
      <c r="BO17" s="30" t="s">
        <v>8</v>
      </c>
      <c r="BP17" s="35">
        <f t="shared" si="44"/>
        <v>0.38025303202194388</v>
      </c>
      <c r="BQ17" s="33">
        <f t="shared" si="45"/>
        <v>4.4153463479269239E-2</v>
      </c>
      <c r="BR17" s="52">
        <f t="shared" si="46"/>
        <v>1108772.9065362704</v>
      </c>
      <c r="BS17" s="114">
        <f t="shared" si="47"/>
        <v>0</v>
      </c>
      <c r="BT17" s="75" t="s">
        <v>8</v>
      </c>
      <c r="BU17" s="30" t="s">
        <v>8</v>
      </c>
      <c r="BV17" s="35">
        <f t="shared" si="125"/>
        <v>0.38025303202194388</v>
      </c>
      <c r="BW17" s="33">
        <f t="shared" si="48"/>
        <v>4.4153463479269239E-2</v>
      </c>
      <c r="BX17" s="52">
        <f t="shared" si="49"/>
        <v>1108772.9065362704</v>
      </c>
      <c r="BY17" s="114">
        <f t="shared" si="50"/>
        <v>0</v>
      </c>
      <c r="BZ17" s="75" t="s">
        <v>8</v>
      </c>
      <c r="CA17" s="30" t="s">
        <v>8</v>
      </c>
      <c r="CB17" s="35">
        <f t="shared" si="126"/>
        <v>0.38025303202194388</v>
      </c>
      <c r="CC17" s="33">
        <f t="shared" si="51"/>
        <v>4.4153463479269239E-2</v>
      </c>
      <c r="CD17" s="52">
        <f t="shared" si="52"/>
        <v>1108772.9065362704</v>
      </c>
      <c r="CE17" s="114">
        <f t="shared" si="53"/>
        <v>0</v>
      </c>
      <c r="CF17" s="75" t="s">
        <v>8</v>
      </c>
      <c r="CG17" s="30" t="s">
        <v>8</v>
      </c>
      <c r="CH17" s="35">
        <f t="shared" si="54"/>
        <v>0.38025303202194388</v>
      </c>
      <c r="CI17" s="33">
        <f t="shared" si="55"/>
        <v>4.4153463479269239E-2</v>
      </c>
      <c r="CJ17" s="52">
        <f t="shared" si="56"/>
        <v>1108772.9065362704</v>
      </c>
      <c r="CK17" s="114">
        <f t="shared" si="57"/>
        <v>0</v>
      </c>
      <c r="CL17" s="75" t="s">
        <v>8</v>
      </c>
      <c r="CM17" s="30" t="s">
        <v>8</v>
      </c>
      <c r="CN17" s="35">
        <f t="shared" si="127"/>
        <v>0.38025303202194388</v>
      </c>
      <c r="CO17" s="33">
        <f t="shared" si="58"/>
        <v>4.4153463479269239E-2</v>
      </c>
      <c r="CP17" s="52">
        <f t="shared" si="59"/>
        <v>1108772.9065362704</v>
      </c>
      <c r="CQ17" s="114">
        <f t="shared" si="60"/>
        <v>0</v>
      </c>
      <c r="CR17" s="75" t="s">
        <v>8</v>
      </c>
      <c r="CS17" s="30" t="s">
        <v>8</v>
      </c>
      <c r="CT17" s="35">
        <f t="shared" si="128"/>
        <v>0.38025303202194388</v>
      </c>
      <c r="CU17" s="33">
        <f t="shared" si="61"/>
        <v>4.4153463479269239E-2</v>
      </c>
      <c r="CV17" s="52">
        <f t="shared" si="62"/>
        <v>1108772.9065362704</v>
      </c>
      <c r="CW17" s="114">
        <f t="shared" si="63"/>
        <v>0</v>
      </c>
      <c r="CX17" s="75" t="s">
        <v>8</v>
      </c>
      <c r="CY17" s="30" t="s">
        <v>8</v>
      </c>
      <c r="CZ17" s="35">
        <f t="shared" si="129"/>
        <v>0.38025303202194388</v>
      </c>
      <c r="DA17" s="33">
        <f t="shared" si="64"/>
        <v>4.4153463479269239E-2</v>
      </c>
      <c r="DB17" s="52">
        <f t="shared" si="65"/>
        <v>1108772.9065362704</v>
      </c>
      <c r="DC17" s="114">
        <f t="shared" si="66"/>
        <v>0</v>
      </c>
      <c r="DD17" s="75" t="s">
        <v>8</v>
      </c>
      <c r="DE17" s="30" t="s">
        <v>8</v>
      </c>
      <c r="DF17" s="35">
        <f t="shared" si="130"/>
        <v>0.38025303202194388</v>
      </c>
      <c r="DG17" s="33">
        <f t="shared" si="67"/>
        <v>4.4153463479269239E-2</v>
      </c>
      <c r="DH17" s="52">
        <f t="shared" si="68"/>
        <v>1108772.9065362704</v>
      </c>
      <c r="DI17" s="114">
        <f t="shared" si="69"/>
        <v>0</v>
      </c>
      <c r="DJ17" s="75" t="s">
        <v>8</v>
      </c>
      <c r="DK17" s="30" t="s">
        <v>8</v>
      </c>
      <c r="DL17" s="35">
        <f t="shared" si="131"/>
        <v>0.38025303202194388</v>
      </c>
      <c r="DM17" s="33">
        <f t="shared" si="70"/>
        <v>4.4153463479269239E-2</v>
      </c>
      <c r="DN17" s="52">
        <f t="shared" si="71"/>
        <v>1108772.9065362704</v>
      </c>
      <c r="DO17" s="114">
        <f t="shared" si="72"/>
        <v>0</v>
      </c>
      <c r="DP17" s="75" t="s">
        <v>8</v>
      </c>
      <c r="DQ17" s="30" t="s">
        <v>8</v>
      </c>
      <c r="DR17" s="35">
        <f t="shared" si="132"/>
        <v>0.38025303202194388</v>
      </c>
      <c r="DS17" s="33">
        <f t="shared" si="73"/>
        <v>4.4153463479269239E-2</v>
      </c>
      <c r="DT17" s="52">
        <f t="shared" si="74"/>
        <v>1108772.9065362704</v>
      </c>
      <c r="DU17" s="114">
        <f t="shared" si="75"/>
        <v>0</v>
      </c>
      <c r="DV17" s="75" t="s">
        <v>8</v>
      </c>
      <c r="DW17" s="30" t="s">
        <v>8</v>
      </c>
      <c r="DX17" s="35">
        <f t="shared" si="76"/>
        <v>0.38025303202194388</v>
      </c>
      <c r="DY17" s="33">
        <f t="shared" si="77"/>
        <v>4.4153463479269239E-2</v>
      </c>
      <c r="DZ17" s="34">
        <f t="shared" si="78"/>
        <v>1108772.9065362704</v>
      </c>
      <c r="EA17" s="79">
        <f t="shared" si="79"/>
        <v>0</v>
      </c>
      <c r="EB17" s="75" t="s">
        <v>8</v>
      </c>
      <c r="EC17" s="30" t="s">
        <v>8</v>
      </c>
      <c r="ED17" s="35">
        <f t="shared" si="80"/>
        <v>0.38025303202194388</v>
      </c>
      <c r="EE17" s="33">
        <f t="shared" si="81"/>
        <v>4.4153463479269239E-2</v>
      </c>
      <c r="EF17" s="34">
        <f t="shared" si="82"/>
        <v>1108772.9065362704</v>
      </c>
      <c r="EG17" s="79">
        <f t="shared" si="83"/>
        <v>0</v>
      </c>
      <c r="EH17" s="75" t="s">
        <v>8</v>
      </c>
      <c r="EI17" s="30" t="s">
        <v>8</v>
      </c>
      <c r="EJ17" s="35">
        <f t="shared" si="84"/>
        <v>0.38025303202194388</v>
      </c>
      <c r="EK17" s="33">
        <f t="shared" si="85"/>
        <v>4.4153463479269239E-2</v>
      </c>
      <c r="EL17" s="34">
        <f t="shared" si="86"/>
        <v>1108772.9065362704</v>
      </c>
      <c r="EM17" s="79">
        <f t="shared" si="87"/>
        <v>0</v>
      </c>
      <c r="EN17" s="75" t="s">
        <v>8</v>
      </c>
      <c r="EO17" s="30" t="s">
        <v>8</v>
      </c>
      <c r="EP17" s="35">
        <f t="shared" si="88"/>
        <v>0.38025303202194388</v>
      </c>
      <c r="EQ17" s="33">
        <f t="shared" si="89"/>
        <v>4.4153463479269239E-2</v>
      </c>
      <c r="ER17" s="34">
        <f t="shared" si="90"/>
        <v>1108772.9065362704</v>
      </c>
      <c r="ES17" s="79">
        <f t="shared" si="91"/>
        <v>0</v>
      </c>
      <c r="ET17" s="75" t="s">
        <v>8</v>
      </c>
      <c r="EU17" s="30" t="s">
        <v>8</v>
      </c>
      <c r="EV17" s="35">
        <f t="shared" si="92"/>
        <v>0.38025303202194388</v>
      </c>
      <c r="EW17" s="33">
        <f t="shared" si="93"/>
        <v>4.4153463479269239E-2</v>
      </c>
      <c r="EX17" s="34">
        <f t="shared" si="94"/>
        <v>1108772.9065362704</v>
      </c>
      <c r="EY17" s="79">
        <f t="shared" si="95"/>
        <v>0</v>
      </c>
      <c r="EZ17" s="75" t="s">
        <v>8</v>
      </c>
      <c r="FA17" s="30" t="s">
        <v>8</v>
      </c>
      <c r="FB17" s="35">
        <f t="shared" si="96"/>
        <v>0.38025303202194388</v>
      </c>
      <c r="FC17" s="33">
        <f t="shared" si="97"/>
        <v>4.4153463479269239E-2</v>
      </c>
      <c r="FD17" s="34">
        <f t="shared" si="98"/>
        <v>1108772.9065362704</v>
      </c>
      <c r="FE17" s="79">
        <f t="shared" si="99"/>
        <v>0</v>
      </c>
      <c r="FF17" s="75" t="s">
        <v>8</v>
      </c>
      <c r="FG17" s="30" t="s">
        <v>8</v>
      </c>
      <c r="FH17" s="35">
        <f t="shared" si="100"/>
        <v>0.38025303202194388</v>
      </c>
      <c r="FI17" s="33">
        <f t="shared" si="101"/>
        <v>4.4153463479269239E-2</v>
      </c>
      <c r="FJ17" s="34">
        <f t="shared" si="102"/>
        <v>1108772.9065362704</v>
      </c>
      <c r="FK17" s="79">
        <f t="shared" si="103"/>
        <v>0</v>
      </c>
      <c r="FL17" s="75" t="s">
        <v>8</v>
      </c>
      <c r="FM17" s="30" t="s">
        <v>8</v>
      </c>
      <c r="FN17" s="35">
        <f t="shared" si="104"/>
        <v>0.38025303202194388</v>
      </c>
      <c r="FO17" s="33">
        <f t="shared" si="105"/>
        <v>4.4153463479269239E-2</v>
      </c>
      <c r="FP17" s="34">
        <f t="shared" si="106"/>
        <v>1108772.9065362704</v>
      </c>
      <c r="FQ17" s="79">
        <f t="shared" si="107"/>
        <v>0</v>
      </c>
      <c r="FR17" s="75" t="s">
        <v>8</v>
      </c>
      <c r="FS17" s="30" t="s">
        <v>8</v>
      </c>
      <c r="FT17" s="35">
        <f t="shared" si="108"/>
        <v>0.38025303202194388</v>
      </c>
      <c r="FU17" s="33">
        <f t="shared" si="109"/>
        <v>4.4153463479269239E-2</v>
      </c>
      <c r="FV17" s="34">
        <f t="shared" si="110"/>
        <v>1108772.9065362704</v>
      </c>
      <c r="FW17" s="79">
        <f t="shared" si="111"/>
        <v>0</v>
      </c>
      <c r="FX17" s="75" t="s">
        <v>8</v>
      </c>
      <c r="FY17" s="30" t="s">
        <v>8</v>
      </c>
      <c r="FZ17" s="35">
        <f t="shared" si="112"/>
        <v>0.38025303202194388</v>
      </c>
      <c r="GA17" s="33">
        <f t="shared" si="113"/>
        <v>4.4153463479269239E-2</v>
      </c>
      <c r="GB17" s="34">
        <f t="shared" si="114"/>
        <v>1108772.9065362704</v>
      </c>
      <c r="GC17" s="79">
        <f t="shared" si="115"/>
        <v>0</v>
      </c>
      <c r="GD17" s="75" t="s">
        <v>8</v>
      </c>
      <c r="GE17" s="30" t="s">
        <v>8</v>
      </c>
      <c r="GF17" s="35">
        <f t="shared" si="116"/>
        <v>0.38025303202194388</v>
      </c>
      <c r="GG17" s="33">
        <f t="shared" si="117"/>
        <v>4.4153463479269239E-2</v>
      </c>
      <c r="GH17" s="34">
        <f t="shared" si="118"/>
        <v>1108772.9065362704</v>
      </c>
      <c r="GI17" s="114">
        <f t="shared" si="119"/>
        <v>0</v>
      </c>
      <c r="GJ17" s="152">
        <f t="shared" si="133"/>
        <v>1444477.679255855</v>
      </c>
      <c r="GK17" s="87">
        <f t="shared" si="120"/>
        <v>1750549.448709643</v>
      </c>
      <c r="GL17" s="194">
        <f t="shared" si="121"/>
        <v>0.38025303202194388</v>
      </c>
      <c r="GM17" s="197"/>
      <c r="GN17" s="201">
        <v>1750549.45</v>
      </c>
      <c r="GO17" s="197"/>
      <c r="GP17" s="201">
        <v>1864382.04</v>
      </c>
      <c r="GQ17" s="197">
        <f t="shared" si="122"/>
        <v>-113832.59129035706</v>
      </c>
      <c r="GR17" s="224">
        <f t="shared" si="123"/>
        <v>-6.1056472787281848</v>
      </c>
    </row>
    <row r="18" spans="1:200" s="25" customFormat="1" x14ac:dyDescent="0.2">
      <c r="A18" s="171" t="s">
        <v>187</v>
      </c>
      <c r="B18" s="140" t="s">
        <v>8</v>
      </c>
      <c r="C18" s="140" t="s">
        <v>8</v>
      </c>
      <c r="D18" s="140" t="s">
        <v>8</v>
      </c>
      <c r="E18" s="140" t="s">
        <v>8</v>
      </c>
      <c r="F18" s="140" t="s">
        <v>8</v>
      </c>
      <c r="G18" s="96">
        <f>'Исходные данные'!C20</f>
        <v>515</v>
      </c>
      <c r="H18" s="31">
        <f>'Исходные данные'!D20</f>
        <v>486534.17</v>
      </c>
      <c r="I18" s="32">
        <f>'Расчет КРП'!G16</f>
        <v>12.806248474865697</v>
      </c>
      <c r="J18" s="103" t="s">
        <v>8</v>
      </c>
      <c r="K18" s="107">
        <f t="shared" si="124"/>
        <v>4.8621771748311837E-2</v>
      </c>
      <c r="L18" s="76">
        <f t="shared" si="7"/>
        <v>404171.6955607711</v>
      </c>
      <c r="M18" s="72">
        <f t="shared" si="8"/>
        <v>8.9012653089048904E-2</v>
      </c>
      <c r="N18" s="30" t="s">
        <v>8</v>
      </c>
      <c r="O18" s="33">
        <f t="shared" si="9"/>
        <v>8.2754278043527585E-2</v>
      </c>
      <c r="P18" s="34">
        <f t="shared" si="10"/>
        <v>1256411.1670685362</v>
      </c>
      <c r="Q18" s="79">
        <f t="shared" si="11"/>
        <v>1256411.1670685362</v>
      </c>
      <c r="R18" s="145" t="s">
        <v>8</v>
      </c>
      <c r="S18" s="30" t="s">
        <v>8</v>
      </c>
      <c r="T18" s="35">
        <f t="shared" si="12"/>
        <v>0.21457205005234226</v>
      </c>
      <c r="U18" s="33">
        <f t="shared" si="13"/>
        <v>6.1038658621726749E-2</v>
      </c>
      <c r="V18" s="52">
        <f t="shared" si="14"/>
        <v>1151665.5485417743</v>
      </c>
      <c r="W18" s="79">
        <f t="shared" si="15"/>
        <v>1151665.5485417743</v>
      </c>
      <c r="X18" s="75" t="s">
        <v>8</v>
      </c>
      <c r="Y18" s="30" t="s">
        <v>8</v>
      </c>
      <c r="Z18" s="35">
        <f t="shared" si="16"/>
        <v>0.32966369804819107</v>
      </c>
      <c r="AA18" s="33">
        <f t="shared" si="17"/>
        <v>4.8259182823882585E-2</v>
      </c>
      <c r="AB18" s="52">
        <f t="shared" si="18"/>
        <v>1115747.6363068812</v>
      </c>
      <c r="AC18" s="79">
        <f t="shared" si="19"/>
        <v>499270.9796814039</v>
      </c>
      <c r="AD18" s="75" t="s">
        <v>8</v>
      </c>
      <c r="AE18" s="30" t="s">
        <v>8</v>
      </c>
      <c r="AF18" s="35">
        <f t="shared" si="20"/>
        <v>0.37955832233454956</v>
      </c>
      <c r="AG18" s="33">
        <f t="shared" si="21"/>
        <v>4.4848173166663563E-2</v>
      </c>
      <c r="AH18" s="52">
        <f t="shared" si="22"/>
        <v>1112004.1900964584</v>
      </c>
      <c r="AI18" s="79">
        <f t="shared" si="23"/>
        <v>0</v>
      </c>
      <c r="AJ18" s="75" t="s">
        <v>8</v>
      </c>
      <c r="AK18" s="30" t="s">
        <v>8</v>
      </c>
      <c r="AL18" s="35">
        <f t="shared" si="24"/>
        <v>0.37955832233454956</v>
      </c>
      <c r="AM18" s="33">
        <f t="shared" si="25"/>
        <v>4.4848173166663563E-2</v>
      </c>
      <c r="AN18" s="52">
        <f t="shared" si="26"/>
        <v>1112004.1900964584</v>
      </c>
      <c r="AO18" s="79">
        <f t="shared" si="27"/>
        <v>0</v>
      </c>
      <c r="AP18" s="75" t="s">
        <v>8</v>
      </c>
      <c r="AQ18" s="30" t="s">
        <v>8</v>
      </c>
      <c r="AR18" s="35">
        <f t="shared" si="28"/>
        <v>0.37955832233454956</v>
      </c>
      <c r="AS18" s="33">
        <f t="shared" si="29"/>
        <v>4.4848173166663563E-2</v>
      </c>
      <c r="AT18" s="52">
        <f t="shared" si="30"/>
        <v>1112004.1900964584</v>
      </c>
      <c r="AU18" s="79">
        <f t="shared" si="31"/>
        <v>0</v>
      </c>
      <c r="AV18" s="75" t="s">
        <v>8</v>
      </c>
      <c r="AW18" s="30" t="s">
        <v>8</v>
      </c>
      <c r="AX18" s="35">
        <f t="shared" si="32"/>
        <v>0.37955832233454956</v>
      </c>
      <c r="AY18" s="33">
        <f t="shared" si="33"/>
        <v>4.4848173166663563E-2</v>
      </c>
      <c r="AZ18" s="52">
        <f t="shared" si="34"/>
        <v>1112004.1900964584</v>
      </c>
      <c r="BA18" s="79">
        <f t="shared" si="35"/>
        <v>0</v>
      </c>
      <c r="BB18" s="75" t="s">
        <v>8</v>
      </c>
      <c r="BC18" s="30" t="s">
        <v>8</v>
      </c>
      <c r="BD18" s="35">
        <f t="shared" si="36"/>
        <v>0.37955832233454956</v>
      </c>
      <c r="BE18" s="33">
        <f t="shared" si="37"/>
        <v>4.4848173166663563E-2</v>
      </c>
      <c r="BF18" s="52">
        <f t="shared" si="38"/>
        <v>1112004.1900964584</v>
      </c>
      <c r="BG18" s="79">
        <f t="shared" si="39"/>
        <v>0</v>
      </c>
      <c r="BH18" s="75" t="s">
        <v>8</v>
      </c>
      <c r="BI18" s="30" t="s">
        <v>8</v>
      </c>
      <c r="BJ18" s="35">
        <f t="shared" si="40"/>
        <v>0.37955832233454956</v>
      </c>
      <c r="BK18" s="33">
        <f t="shared" si="41"/>
        <v>4.4848173166663563E-2</v>
      </c>
      <c r="BL18" s="52">
        <f t="shared" si="42"/>
        <v>1112004.1900964584</v>
      </c>
      <c r="BM18" s="79">
        <f t="shared" si="43"/>
        <v>0</v>
      </c>
      <c r="BN18" s="75" t="s">
        <v>8</v>
      </c>
      <c r="BO18" s="30" t="s">
        <v>8</v>
      </c>
      <c r="BP18" s="35">
        <f t="shared" si="44"/>
        <v>0.37955832233454956</v>
      </c>
      <c r="BQ18" s="33">
        <f t="shared" si="45"/>
        <v>4.4848173166663563E-2</v>
      </c>
      <c r="BR18" s="52">
        <f t="shared" si="46"/>
        <v>1112004.1900964584</v>
      </c>
      <c r="BS18" s="114">
        <f t="shared" si="47"/>
        <v>0</v>
      </c>
      <c r="BT18" s="75" t="s">
        <v>8</v>
      </c>
      <c r="BU18" s="30" t="s">
        <v>8</v>
      </c>
      <c r="BV18" s="35">
        <f t="shared" si="125"/>
        <v>0.37955832233454956</v>
      </c>
      <c r="BW18" s="33">
        <f t="shared" si="48"/>
        <v>4.4848173166663563E-2</v>
      </c>
      <c r="BX18" s="52">
        <f t="shared" si="49"/>
        <v>1112004.1900964584</v>
      </c>
      <c r="BY18" s="114">
        <f t="shared" si="50"/>
        <v>0</v>
      </c>
      <c r="BZ18" s="75" t="s">
        <v>8</v>
      </c>
      <c r="CA18" s="30" t="s">
        <v>8</v>
      </c>
      <c r="CB18" s="35">
        <f t="shared" si="126"/>
        <v>0.37955832233454956</v>
      </c>
      <c r="CC18" s="33">
        <f t="shared" si="51"/>
        <v>4.4848173166663563E-2</v>
      </c>
      <c r="CD18" s="52">
        <f t="shared" si="52"/>
        <v>1112004.1900964584</v>
      </c>
      <c r="CE18" s="114">
        <f t="shared" si="53"/>
        <v>0</v>
      </c>
      <c r="CF18" s="75" t="s">
        <v>8</v>
      </c>
      <c r="CG18" s="30" t="s">
        <v>8</v>
      </c>
      <c r="CH18" s="35">
        <f t="shared" si="54"/>
        <v>0.37955832233454956</v>
      </c>
      <c r="CI18" s="33">
        <f t="shared" si="55"/>
        <v>4.4848173166663563E-2</v>
      </c>
      <c r="CJ18" s="52">
        <f t="shared" si="56"/>
        <v>1112004.1900964584</v>
      </c>
      <c r="CK18" s="114">
        <f t="shared" si="57"/>
        <v>0</v>
      </c>
      <c r="CL18" s="75" t="s">
        <v>8</v>
      </c>
      <c r="CM18" s="30" t="s">
        <v>8</v>
      </c>
      <c r="CN18" s="35">
        <f t="shared" si="127"/>
        <v>0.37955832233454956</v>
      </c>
      <c r="CO18" s="33">
        <f t="shared" si="58"/>
        <v>4.4848173166663563E-2</v>
      </c>
      <c r="CP18" s="52">
        <f t="shared" si="59"/>
        <v>1112004.1900964584</v>
      </c>
      <c r="CQ18" s="114">
        <f t="shared" si="60"/>
        <v>0</v>
      </c>
      <c r="CR18" s="75" t="s">
        <v>8</v>
      </c>
      <c r="CS18" s="30" t="s">
        <v>8</v>
      </c>
      <c r="CT18" s="35">
        <f t="shared" si="128"/>
        <v>0.37955832233454956</v>
      </c>
      <c r="CU18" s="33">
        <f t="shared" si="61"/>
        <v>4.4848173166663563E-2</v>
      </c>
      <c r="CV18" s="52">
        <f t="shared" si="62"/>
        <v>1112004.1900964584</v>
      </c>
      <c r="CW18" s="114">
        <f t="shared" si="63"/>
        <v>0</v>
      </c>
      <c r="CX18" s="75" t="s">
        <v>8</v>
      </c>
      <c r="CY18" s="30" t="s">
        <v>8</v>
      </c>
      <c r="CZ18" s="35">
        <f t="shared" si="129"/>
        <v>0.37955832233454956</v>
      </c>
      <c r="DA18" s="33">
        <f t="shared" si="64"/>
        <v>4.4848173166663563E-2</v>
      </c>
      <c r="DB18" s="52">
        <f t="shared" si="65"/>
        <v>1112004.1900964584</v>
      </c>
      <c r="DC18" s="114">
        <f t="shared" si="66"/>
        <v>0</v>
      </c>
      <c r="DD18" s="75" t="s">
        <v>8</v>
      </c>
      <c r="DE18" s="30" t="s">
        <v>8</v>
      </c>
      <c r="DF18" s="35">
        <f t="shared" si="130"/>
        <v>0.37955832233454956</v>
      </c>
      <c r="DG18" s="33">
        <f t="shared" si="67"/>
        <v>4.4848173166663563E-2</v>
      </c>
      <c r="DH18" s="52">
        <f t="shared" si="68"/>
        <v>1112004.1900964584</v>
      </c>
      <c r="DI18" s="114">
        <f t="shared" si="69"/>
        <v>0</v>
      </c>
      <c r="DJ18" s="75" t="s">
        <v>8</v>
      </c>
      <c r="DK18" s="30" t="s">
        <v>8</v>
      </c>
      <c r="DL18" s="35">
        <f t="shared" si="131"/>
        <v>0.37955832233454956</v>
      </c>
      <c r="DM18" s="33">
        <f t="shared" si="70"/>
        <v>4.4848173166663563E-2</v>
      </c>
      <c r="DN18" s="52">
        <f t="shared" si="71"/>
        <v>1112004.1900964584</v>
      </c>
      <c r="DO18" s="114">
        <f t="shared" si="72"/>
        <v>0</v>
      </c>
      <c r="DP18" s="75" t="s">
        <v>8</v>
      </c>
      <c r="DQ18" s="30" t="s">
        <v>8</v>
      </c>
      <c r="DR18" s="35">
        <f t="shared" si="132"/>
        <v>0.37955832233454956</v>
      </c>
      <c r="DS18" s="33">
        <f t="shared" si="73"/>
        <v>4.4848173166663563E-2</v>
      </c>
      <c r="DT18" s="52">
        <f t="shared" si="74"/>
        <v>1112004.1900964584</v>
      </c>
      <c r="DU18" s="114">
        <f t="shared" si="75"/>
        <v>0</v>
      </c>
      <c r="DV18" s="75" t="s">
        <v>8</v>
      </c>
      <c r="DW18" s="30" t="s">
        <v>8</v>
      </c>
      <c r="DX18" s="35">
        <f t="shared" si="76"/>
        <v>0.37955832233454956</v>
      </c>
      <c r="DY18" s="33">
        <f t="shared" si="77"/>
        <v>4.4848173166663563E-2</v>
      </c>
      <c r="DZ18" s="34">
        <f t="shared" si="78"/>
        <v>1112004.1900964584</v>
      </c>
      <c r="EA18" s="79">
        <f t="shared" si="79"/>
        <v>0</v>
      </c>
      <c r="EB18" s="75" t="s">
        <v>8</v>
      </c>
      <c r="EC18" s="30" t="s">
        <v>8</v>
      </c>
      <c r="ED18" s="35">
        <f t="shared" si="80"/>
        <v>0.37955832233454956</v>
      </c>
      <c r="EE18" s="33">
        <f t="shared" si="81"/>
        <v>4.4848173166663563E-2</v>
      </c>
      <c r="EF18" s="34">
        <f t="shared" si="82"/>
        <v>1112004.1900964584</v>
      </c>
      <c r="EG18" s="79">
        <f t="shared" si="83"/>
        <v>0</v>
      </c>
      <c r="EH18" s="75" t="s">
        <v>8</v>
      </c>
      <c r="EI18" s="30" t="s">
        <v>8</v>
      </c>
      <c r="EJ18" s="35">
        <f t="shared" si="84"/>
        <v>0.37955832233454956</v>
      </c>
      <c r="EK18" s="33">
        <f t="shared" si="85"/>
        <v>4.4848173166663563E-2</v>
      </c>
      <c r="EL18" s="34">
        <f t="shared" si="86"/>
        <v>1112004.1900964584</v>
      </c>
      <c r="EM18" s="79">
        <f t="shared" si="87"/>
        <v>0</v>
      </c>
      <c r="EN18" s="75" t="s">
        <v>8</v>
      </c>
      <c r="EO18" s="30" t="s">
        <v>8</v>
      </c>
      <c r="EP18" s="35">
        <f t="shared" si="88"/>
        <v>0.37955832233454956</v>
      </c>
      <c r="EQ18" s="33">
        <f t="shared" si="89"/>
        <v>4.4848173166663563E-2</v>
      </c>
      <c r="ER18" s="34">
        <f t="shared" si="90"/>
        <v>1112004.1900964584</v>
      </c>
      <c r="ES18" s="79">
        <f t="shared" si="91"/>
        <v>0</v>
      </c>
      <c r="ET18" s="75" t="s">
        <v>8</v>
      </c>
      <c r="EU18" s="30" t="s">
        <v>8</v>
      </c>
      <c r="EV18" s="35">
        <f t="shared" si="92"/>
        <v>0.37955832233454956</v>
      </c>
      <c r="EW18" s="33">
        <f t="shared" si="93"/>
        <v>4.4848173166663563E-2</v>
      </c>
      <c r="EX18" s="34">
        <f t="shared" si="94"/>
        <v>1112004.1900964584</v>
      </c>
      <c r="EY18" s="79">
        <f t="shared" si="95"/>
        <v>0</v>
      </c>
      <c r="EZ18" s="75" t="s">
        <v>8</v>
      </c>
      <c r="FA18" s="30" t="s">
        <v>8</v>
      </c>
      <c r="FB18" s="35">
        <f t="shared" si="96"/>
        <v>0.37955832233454956</v>
      </c>
      <c r="FC18" s="33">
        <f t="shared" si="97"/>
        <v>4.4848173166663563E-2</v>
      </c>
      <c r="FD18" s="34">
        <f t="shared" si="98"/>
        <v>1112004.1900964584</v>
      </c>
      <c r="FE18" s="79">
        <f t="shared" si="99"/>
        <v>0</v>
      </c>
      <c r="FF18" s="75" t="s">
        <v>8</v>
      </c>
      <c r="FG18" s="30" t="s">
        <v>8</v>
      </c>
      <c r="FH18" s="35">
        <f t="shared" si="100"/>
        <v>0.37955832233454956</v>
      </c>
      <c r="FI18" s="33">
        <f t="shared" si="101"/>
        <v>4.4848173166663563E-2</v>
      </c>
      <c r="FJ18" s="34">
        <f t="shared" si="102"/>
        <v>1112004.1900964584</v>
      </c>
      <c r="FK18" s="79">
        <f t="shared" si="103"/>
        <v>0</v>
      </c>
      <c r="FL18" s="75" t="s">
        <v>8</v>
      </c>
      <c r="FM18" s="30" t="s">
        <v>8</v>
      </c>
      <c r="FN18" s="35">
        <f t="shared" si="104"/>
        <v>0.37955832233454956</v>
      </c>
      <c r="FO18" s="33">
        <f t="shared" si="105"/>
        <v>4.4848173166663563E-2</v>
      </c>
      <c r="FP18" s="34">
        <f t="shared" si="106"/>
        <v>1112004.1900964584</v>
      </c>
      <c r="FQ18" s="79">
        <f t="shared" si="107"/>
        <v>0</v>
      </c>
      <c r="FR18" s="75" t="s">
        <v>8</v>
      </c>
      <c r="FS18" s="30" t="s">
        <v>8</v>
      </c>
      <c r="FT18" s="35">
        <f t="shared" si="108"/>
        <v>0.37955832233454956</v>
      </c>
      <c r="FU18" s="33">
        <f t="shared" si="109"/>
        <v>4.4848173166663563E-2</v>
      </c>
      <c r="FV18" s="34">
        <f t="shared" si="110"/>
        <v>1112004.1900964584</v>
      </c>
      <c r="FW18" s="79">
        <f t="shared" si="111"/>
        <v>0</v>
      </c>
      <c r="FX18" s="75" t="s">
        <v>8</v>
      </c>
      <c r="FY18" s="30" t="s">
        <v>8</v>
      </c>
      <c r="FZ18" s="35">
        <f t="shared" si="112"/>
        <v>0.37955832233454956</v>
      </c>
      <c r="GA18" s="33">
        <f t="shared" si="113"/>
        <v>4.4848173166663563E-2</v>
      </c>
      <c r="GB18" s="34">
        <f t="shared" si="114"/>
        <v>1112004.1900964584</v>
      </c>
      <c r="GC18" s="79">
        <f t="shared" si="115"/>
        <v>0</v>
      </c>
      <c r="GD18" s="75" t="s">
        <v>8</v>
      </c>
      <c r="GE18" s="30" t="s">
        <v>8</v>
      </c>
      <c r="GF18" s="35">
        <f t="shared" si="116"/>
        <v>0.37955832233454956</v>
      </c>
      <c r="GG18" s="33">
        <f t="shared" si="117"/>
        <v>4.4848173166663563E-2</v>
      </c>
      <c r="GH18" s="34">
        <f t="shared" si="118"/>
        <v>1112004.1900964584</v>
      </c>
      <c r="GI18" s="114">
        <f t="shared" si="119"/>
        <v>0</v>
      </c>
      <c r="GJ18" s="152">
        <f t="shared" si="133"/>
        <v>2907347.6952917143</v>
      </c>
      <c r="GK18" s="87">
        <f t="shared" si="120"/>
        <v>3311519.3908524853</v>
      </c>
      <c r="GL18" s="194">
        <f t="shared" si="121"/>
        <v>0.37955832233454956</v>
      </c>
      <c r="GM18" s="197"/>
      <c r="GN18" s="201">
        <v>3311519.39</v>
      </c>
      <c r="GO18" s="197"/>
      <c r="GP18" s="201">
        <v>3347158.06</v>
      </c>
      <c r="GQ18" s="197">
        <f t="shared" si="122"/>
        <v>-35638.669147514738</v>
      </c>
      <c r="GR18" s="224">
        <f t="shared" si="123"/>
        <v>-1.0647441354327469</v>
      </c>
    </row>
    <row r="19" spans="1:200" s="25" customFormat="1" x14ac:dyDescent="0.2">
      <c r="A19" s="171" t="s">
        <v>188</v>
      </c>
      <c r="B19" s="140" t="s">
        <v>8</v>
      </c>
      <c r="C19" s="140" t="s">
        <v>8</v>
      </c>
      <c r="D19" s="140" t="s">
        <v>8</v>
      </c>
      <c r="E19" s="140" t="s">
        <v>8</v>
      </c>
      <c r="F19" s="140" t="s">
        <v>8</v>
      </c>
      <c r="G19" s="96">
        <f>'Исходные данные'!C21</f>
        <v>896</v>
      </c>
      <c r="H19" s="31">
        <f>'Исходные данные'!D21</f>
        <v>743935.96</v>
      </c>
      <c r="I19" s="32">
        <f>'Расчет КРП'!G17</f>
        <v>9.7467943448089631</v>
      </c>
      <c r="J19" s="103" t="s">
        <v>8</v>
      </c>
      <c r="K19" s="107">
        <f t="shared" si="124"/>
        <v>5.6145160296911203E-2</v>
      </c>
      <c r="L19" s="76">
        <f t="shared" si="7"/>
        <v>703180.27033485624</v>
      </c>
      <c r="M19" s="72">
        <f t="shared" si="8"/>
        <v>0.10921447152576462</v>
      </c>
      <c r="N19" s="30" t="s">
        <v>8</v>
      </c>
      <c r="O19" s="33">
        <f t="shared" si="9"/>
        <v>6.2552459606811869E-2</v>
      </c>
      <c r="P19" s="34">
        <f t="shared" si="10"/>
        <v>1257553.250036509</v>
      </c>
      <c r="Q19" s="79">
        <f t="shared" si="11"/>
        <v>1257553.250036509</v>
      </c>
      <c r="R19" s="145" t="s">
        <v>8</v>
      </c>
      <c r="S19" s="30" t="s">
        <v>8</v>
      </c>
      <c r="T19" s="35">
        <f t="shared" si="12"/>
        <v>0.20412254507177449</v>
      </c>
      <c r="U19" s="33">
        <f t="shared" si="13"/>
        <v>7.1488163602294513E-2</v>
      </c>
      <c r="V19" s="52">
        <f t="shared" si="14"/>
        <v>1786060.617968285</v>
      </c>
      <c r="W19" s="79">
        <f t="shared" si="15"/>
        <v>1786060.617968285</v>
      </c>
      <c r="X19" s="75" t="s">
        <v>8</v>
      </c>
      <c r="Y19" s="30" t="s">
        <v>8</v>
      </c>
      <c r="Z19" s="35">
        <f t="shared" si="16"/>
        <v>0.33891729231833811</v>
      </c>
      <c r="AA19" s="33">
        <f t="shared" si="17"/>
        <v>3.9005588553735537E-2</v>
      </c>
      <c r="AB19" s="52">
        <f t="shared" si="18"/>
        <v>1194135.2163564968</v>
      </c>
      <c r="AC19" s="79">
        <f t="shared" si="19"/>
        <v>534347.58895459771</v>
      </c>
      <c r="AD19" s="75" t="s">
        <v>8</v>
      </c>
      <c r="AE19" s="30" t="s">
        <v>8</v>
      </c>
      <c r="AF19" s="35">
        <f t="shared" si="20"/>
        <v>0.37924472995977693</v>
      </c>
      <c r="AG19" s="33">
        <f t="shared" si="21"/>
        <v>4.5161765541436194E-2</v>
      </c>
      <c r="AH19" s="52">
        <f t="shared" si="22"/>
        <v>1482768.1111858145</v>
      </c>
      <c r="AI19" s="79">
        <f t="shared" si="23"/>
        <v>0</v>
      </c>
      <c r="AJ19" s="75" t="s">
        <v>8</v>
      </c>
      <c r="AK19" s="30" t="s">
        <v>8</v>
      </c>
      <c r="AL19" s="35">
        <f t="shared" si="24"/>
        <v>0.37924472995977693</v>
      </c>
      <c r="AM19" s="33">
        <f t="shared" si="25"/>
        <v>4.5161765541436194E-2</v>
      </c>
      <c r="AN19" s="52">
        <f t="shared" si="26"/>
        <v>1482768.1111858145</v>
      </c>
      <c r="AO19" s="79">
        <f t="shared" si="27"/>
        <v>0</v>
      </c>
      <c r="AP19" s="75" t="s">
        <v>8</v>
      </c>
      <c r="AQ19" s="30" t="s">
        <v>8</v>
      </c>
      <c r="AR19" s="35">
        <f t="shared" si="28"/>
        <v>0.37924472995977693</v>
      </c>
      <c r="AS19" s="33">
        <f t="shared" si="29"/>
        <v>4.5161765541436194E-2</v>
      </c>
      <c r="AT19" s="52">
        <f t="shared" si="30"/>
        <v>1482768.1111858145</v>
      </c>
      <c r="AU19" s="79">
        <f t="shared" si="31"/>
        <v>0</v>
      </c>
      <c r="AV19" s="75" t="s">
        <v>8</v>
      </c>
      <c r="AW19" s="30" t="s">
        <v>8</v>
      </c>
      <c r="AX19" s="35">
        <f t="shared" si="32"/>
        <v>0.37924472995977693</v>
      </c>
      <c r="AY19" s="33">
        <f t="shared" si="33"/>
        <v>4.5161765541436194E-2</v>
      </c>
      <c r="AZ19" s="52">
        <f t="shared" si="34"/>
        <v>1482768.1111858145</v>
      </c>
      <c r="BA19" s="79">
        <f t="shared" si="35"/>
        <v>0</v>
      </c>
      <c r="BB19" s="75" t="s">
        <v>8</v>
      </c>
      <c r="BC19" s="30" t="s">
        <v>8</v>
      </c>
      <c r="BD19" s="35">
        <f t="shared" si="36"/>
        <v>0.37924472995977693</v>
      </c>
      <c r="BE19" s="33">
        <f t="shared" si="37"/>
        <v>4.5161765541436194E-2</v>
      </c>
      <c r="BF19" s="52">
        <f t="shared" si="38"/>
        <v>1482768.1111858145</v>
      </c>
      <c r="BG19" s="79">
        <f t="shared" si="39"/>
        <v>0</v>
      </c>
      <c r="BH19" s="75" t="s">
        <v>8</v>
      </c>
      <c r="BI19" s="30" t="s">
        <v>8</v>
      </c>
      <c r="BJ19" s="35">
        <f t="shared" si="40"/>
        <v>0.37924472995977693</v>
      </c>
      <c r="BK19" s="33">
        <f t="shared" si="41"/>
        <v>4.5161765541436194E-2</v>
      </c>
      <c r="BL19" s="52">
        <f t="shared" si="42"/>
        <v>1482768.1111858145</v>
      </c>
      <c r="BM19" s="79">
        <f t="shared" si="43"/>
        <v>0</v>
      </c>
      <c r="BN19" s="75" t="s">
        <v>8</v>
      </c>
      <c r="BO19" s="30" t="s">
        <v>8</v>
      </c>
      <c r="BP19" s="35">
        <f t="shared" si="44"/>
        <v>0.37924472995977693</v>
      </c>
      <c r="BQ19" s="33">
        <f t="shared" si="45"/>
        <v>4.5161765541436194E-2</v>
      </c>
      <c r="BR19" s="52">
        <f t="shared" si="46"/>
        <v>1482768.1111858145</v>
      </c>
      <c r="BS19" s="114">
        <f t="shared" si="47"/>
        <v>0</v>
      </c>
      <c r="BT19" s="75" t="s">
        <v>8</v>
      </c>
      <c r="BU19" s="30" t="s">
        <v>8</v>
      </c>
      <c r="BV19" s="35">
        <f t="shared" si="125"/>
        <v>0.37924472995977693</v>
      </c>
      <c r="BW19" s="33">
        <f t="shared" si="48"/>
        <v>4.5161765541436194E-2</v>
      </c>
      <c r="BX19" s="52">
        <f t="shared" si="49"/>
        <v>1482768.1111858145</v>
      </c>
      <c r="BY19" s="114">
        <f t="shared" si="50"/>
        <v>0</v>
      </c>
      <c r="BZ19" s="75" t="s">
        <v>8</v>
      </c>
      <c r="CA19" s="30" t="s">
        <v>8</v>
      </c>
      <c r="CB19" s="35">
        <f t="shared" si="126"/>
        <v>0.37924472995977693</v>
      </c>
      <c r="CC19" s="33">
        <f t="shared" si="51"/>
        <v>4.5161765541436194E-2</v>
      </c>
      <c r="CD19" s="52">
        <f t="shared" si="52"/>
        <v>1482768.1111858145</v>
      </c>
      <c r="CE19" s="114">
        <f t="shared" si="53"/>
        <v>0</v>
      </c>
      <c r="CF19" s="75" t="s">
        <v>8</v>
      </c>
      <c r="CG19" s="30" t="s">
        <v>8</v>
      </c>
      <c r="CH19" s="35">
        <f t="shared" si="54"/>
        <v>0.37924472995977693</v>
      </c>
      <c r="CI19" s="33">
        <f t="shared" si="55"/>
        <v>4.5161765541436194E-2</v>
      </c>
      <c r="CJ19" s="52">
        <f t="shared" si="56"/>
        <v>1482768.1111858145</v>
      </c>
      <c r="CK19" s="114">
        <f t="shared" si="57"/>
        <v>0</v>
      </c>
      <c r="CL19" s="75" t="s">
        <v>8</v>
      </c>
      <c r="CM19" s="30" t="s">
        <v>8</v>
      </c>
      <c r="CN19" s="35">
        <f t="shared" si="127"/>
        <v>0.37924472995977693</v>
      </c>
      <c r="CO19" s="33">
        <f t="shared" si="58"/>
        <v>4.5161765541436194E-2</v>
      </c>
      <c r="CP19" s="52">
        <f t="shared" si="59"/>
        <v>1482768.1111858145</v>
      </c>
      <c r="CQ19" s="114">
        <f t="shared" si="60"/>
        <v>0</v>
      </c>
      <c r="CR19" s="75" t="s">
        <v>8</v>
      </c>
      <c r="CS19" s="30" t="s">
        <v>8</v>
      </c>
      <c r="CT19" s="35">
        <f t="shared" si="128"/>
        <v>0.37924472995977693</v>
      </c>
      <c r="CU19" s="33">
        <f t="shared" si="61"/>
        <v>4.5161765541436194E-2</v>
      </c>
      <c r="CV19" s="52">
        <f t="shared" si="62"/>
        <v>1482768.1111858145</v>
      </c>
      <c r="CW19" s="114">
        <f t="shared" si="63"/>
        <v>0</v>
      </c>
      <c r="CX19" s="75" t="s">
        <v>8</v>
      </c>
      <c r="CY19" s="30" t="s">
        <v>8</v>
      </c>
      <c r="CZ19" s="35">
        <f t="shared" si="129"/>
        <v>0.37924472995977693</v>
      </c>
      <c r="DA19" s="33">
        <f t="shared" si="64"/>
        <v>4.5161765541436194E-2</v>
      </c>
      <c r="DB19" s="52">
        <f t="shared" si="65"/>
        <v>1482768.1111858145</v>
      </c>
      <c r="DC19" s="114">
        <f t="shared" si="66"/>
        <v>0</v>
      </c>
      <c r="DD19" s="75" t="s">
        <v>8</v>
      </c>
      <c r="DE19" s="30" t="s">
        <v>8</v>
      </c>
      <c r="DF19" s="35">
        <f t="shared" si="130"/>
        <v>0.37924472995977693</v>
      </c>
      <c r="DG19" s="33">
        <f t="shared" si="67"/>
        <v>4.5161765541436194E-2</v>
      </c>
      <c r="DH19" s="52">
        <f t="shared" si="68"/>
        <v>1482768.1111858145</v>
      </c>
      <c r="DI19" s="114">
        <f t="shared" si="69"/>
        <v>0</v>
      </c>
      <c r="DJ19" s="75" t="s">
        <v>8</v>
      </c>
      <c r="DK19" s="30" t="s">
        <v>8</v>
      </c>
      <c r="DL19" s="35">
        <f t="shared" si="131"/>
        <v>0.37924472995977693</v>
      </c>
      <c r="DM19" s="33">
        <f t="shared" si="70"/>
        <v>4.5161765541436194E-2</v>
      </c>
      <c r="DN19" s="52">
        <f t="shared" si="71"/>
        <v>1482768.1111858145</v>
      </c>
      <c r="DO19" s="114">
        <f t="shared" si="72"/>
        <v>0</v>
      </c>
      <c r="DP19" s="75" t="s">
        <v>8</v>
      </c>
      <c r="DQ19" s="30" t="s">
        <v>8</v>
      </c>
      <c r="DR19" s="35">
        <f t="shared" si="132"/>
        <v>0.37924472995977693</v>
      </c>
      <c r="DS19" s="33">
        <f t="shared" si="73"/>
        <v>4.5161765541436194E-2</v>
      </c>
      <c r="DT19" s="52">
        <f t="shared" si="74"/>
        <v>1482768.1111858145</v>
      </c>
      <c r="DU19" s="114">
        <f t="shared" si="75"/>
        <v>0</v>
      </c>
      <c r="DV19" s="75" t="s">
        <v>8</v>
      </c>
      <c r="DW19" s="30" t="s">
        <v>8</v>
      </c>
      <c r="DX19" s="35">
        <f t="shared" si="76"/>
        <v>0.37924472995977693</v>
      </c>
      <c r="DY19" s="33">
        <f t="shared" si="77"/>
        <v>4.5161765541436194E-2</v>
      </c>
      <c r="DZ19" s="34">
        <f t="shared" si="78"/>
        <v>1482768.1111858145</v>
      </c>
      <c r="EA19" s="79">
        <f t="shared" si="79"/>
        <v>0</v>
      </c>
      <c r="EB19" s="75" t="s">
        <v>8</v>
      </c>
      <c r="EC19" s="30" t="s">
        <v>8</v>
      </c>
      <c r="ED19" s="35">
        <f t="shared" si="80"/>
        <v>0.37924472995977693</v>
      </c>
      <c r="EE19" s="33">
        <f t="shared" si="81"/>
        <v>4.5161765541436194E-2</v>
      </c>
      <c r="EF19" s="34">
        <f t="shared" si="82"/>
        <v>1482768.1111858145</v>
      </c>
      <c r="EG19" s="79">
        <f t="shared" si="83"/>
        <v>0</v>
      </c>
      <c r="EH19" s="75" t="s">
        <v>8</v>
      </c>
      <c r="EI19" s="30" t="s">
        <v>8</v>
      </c>
      <c r="EJ19" s="35">
        <f t="shared" si="84"/>
        <v>0.37924472995977693</v>
      </c>
      <c r="EK19" s="33">
        <f t="shared" si="85"/>
        <v>4.5161765541436194E-2</v>
      </c>
      <c r="EL19" s="34">
        <f t="shared" si="86"/>
        <v>1482768.1111858145</v>
      </c>
      <c r="EM19" s="79">
        <f t="shared" si="87"/>
        <v>0</v>
      </c>
      <c r="EN19" s="75" t="s">
        <v>8</v>
      </c>
      <c r="EO19" s="30" t="s">
        <v>8</v>
      </c>
      <c r="EP19" s="35">
        <f t="shared" si="88"/>
        <v>0.37924472995977693</v>
      </c>
      <c r="EQ19" s="33">
        <f t="shared" si="89"/>
        <v>4.5161765541436194E-2</v>
      </c>
      <c r="ER19" s="34">
        <f t="shared" si="90"/>
        <v>1482768.1111858145</v>
      </c>
      <c r="ES19" s="79">
        <f t="shared" si="91"/>
        <v>0</v>
      </c>
      <c r="ET19" s="75" t="s">
        <v>8</v>
      </c>
      <c r="EU19" s="30" t="s">
        <v>8</v>
      </c>
      <c r="EV19" s="35">
        <f t="shared" si="92"/>
        <v>0.37924472995977693</v>
      </c>
      <c r="EW19" s="33">
        <f t="shared" si="93"/>
        <v>4.5161765541436194E-2</v>
      </c>
      <c r="EX19" s="34">
        <f t="shared" si="94"/>
        <v>1482768.1111858145</v>
      </c>
      <c r="EY19" s="79">
        <f t="shared" si="95"/>
        <v>0</v>
      </c>
      <c r="EZ19" s="75" t="s">
        <v>8</v>
      </c>
      <c r="FA19" s="30" t="s">
        <v>8</v>
      </c>
      <c r="FB19" s="35">
        <f t="shared" si="96"/>
        <v>0.37924472995977693</v>
      </c>
      <c r="FC19" s="33">
        <f t="shared" si="97"/>
        <v>4.5161765541436194E-2</v>
      </c>
      <c r="FD19" s="34">
        <f t="shared" si="98"/>
        <v>1482768.1111858145</v>
      </c>
      <c r="FE19" s="79">
        <f t="shared" si="99"/>
        <v>0</v>
      </c>
      <c r="FF19" s="75" t="s">
        <v>8</v>
      </c>
      <c r="FG19" s="30" t="s">
        <v>8</v>
      </c>
      <c r="FH19" s="35">
        <f t="shared" si="100"/>
        <v>0.37924472995977693</v>
      </c>
      <c r="FI19" s="33">
        <f t="shared" si="101"/>
        <v>4.5161765541436194E-2</v>
      </c>
      <c r="FJ19" s="34">
        <f t="shared" si="102"/>
        <v>1482768.1111858145</v>
      </c>
      <c r="FK19" s="79">
        <f t="shared" si="103"/>
        <v>0</v>
      </c>
      <c r="FL19" s="75" t="s">
        <v>8</v>
      </c>
      <c r="FM19" s="30" t="s">
        <v>8</v>
      </c>
      <c r="FN19" s="35">
        <f t="shared" si="104"/>
        <v>0.37924472995977693</v>
      </c>
      <c r="FO19" s="33">
        <f t="shared" si="105"/>
        <v>4.5161765541436194E-2</v>
      </c>
      <c r="FP19" s="34">
        <f t="shared" si="106"/>
        <v>1482768.1111858145</v>
      </c>
      <c r="FQ19" s="79">
        <f t="shared" si="107"/>
        <v>0</v>
      </c>
      <c r="FR19" s="75" t="s">
        <v>8</v>
      </c>
      <c r="FS19" s="30" t="s">
        <v>8</v>
      </c>
      <c r="FT19" s="35">
        <f t="shared" si="108"/>
        <v>0.37924472995977693</v>
      </c>
      <c r="FU19" s="33">
        <f t="shared" si="109"/>
        <v>4.5161765541436194E-2</v>
      </c>
      <c r="FV19" s="34">
        <f t="shared" si="110"/>
        <v>1482768.1111858145</v>
      </c>
      <c r="FW19" s="79">
        <f t="shared" si="111"/>
        <v>0</v>
      </c>
      <c r="FX19" s="75" t="s">
        <v>8</v>
      </c>
      <c r="FY19" s="30" t="s">
        <v>8</v>
      </c>
      <c r="FZ19" s="35">
        <f t="shared" si="112"/>
        <v>0.37924472995977693</v>
      </c>
      <c r="GA19" s="33">
        <f t="shared" si="113"/>
        <v>4.5161765541436194E-2</v>
      </c>
      <c r="GB19" s="34">
        <f t="shared" si="114"/>
        <v>1482768.1111858145</v>
      </c>
      <c r="GC19" s="79">
        <f t="shared" si="115"/>
        <v>0</v>
      </c>
      <c r="GD19" s="75" t="s">
        <v>8</v>
      </c>
      <c r="GE19" s="30" t="s">
        <v>8</v>
      </c>
      <c r="GF19" s="35">
        <f t="shared" si="116"/>
        <v>0.37924472995977693</v>
      </c>
      <c r="GG19" s="33">
        <f t="shared" si="117"/>
        <v>4.5161765541436194E-2</v>
      </c>
      <c r="GH19" s="34">
        <f t="shared" si="118"/>
        <v>1482768.1111858145</v>
      </c>
      <c r="GI19" s="114">
        <f t="shared" si="119"/>
        <v>0</v>
      </c>
      <c r="GJ19" s="152">
        <f t="shared" si="133"/>
        <v>3577961.4569593919</v>
      </c>
      <c r="GK19" s="87">
        <f t="shared" si="120"/>
        <v>4281141.7272942485</v>
      </c>
      <c r="GL19" s="194">
        <f t="shared" si="121"/>
        <v>0.37924472995977693</v>
      </c>
      <c r="GM19" s="197"/>
      <c r="GN19" s="201">
        <v>4281141.7300000004</v>
      </c>
      <c r="GO19" s="197"/>
      <c r="GP19" s="201">
        <v>4210205.33</v>
      </c>
      <c r="GQ19" s="197">
        <f t="shared" si="122"/>
        <v>70936.397294248454</v>
      </c>
      <c r="GR19" s="224">
        <f t="shared" si="123"/>
        <v>1.6848678801669905</v>
      </c>
    </row>
    <row r="20" spans="1:200" s="25" customFormat="1" ht="15.75" customHeight="1" x14ac:dyDescent="0.2">
      <c r="A20" s="171" t="s">
        <v>189</v>
      </c>
      <c r="B20" s="140" t="s">
        <v>8</v>
      </c>
      <c r="C20" s="140" t="s">
        <v>8</v>
      </c>
      <c r="D20" s="140" t="s">
        <v>8</v>
      </c>
      <c r="E20" s="140" t="s">
        <v>8</v>
      </c>
      <c r="F20" s="140" t="s">
        <v>8</v>
      </c>
      <c r="G20" s="96">
        <f>'Исходные данные'!C22</f>
        <v>1249</v>
      </c>
      <c r="H20" s="31">
        <f>'Исходные данные'!D22</f>
        <v>1308602.6000000001</v>
      </c>
      <c r="I20" s="32">
        <f>'Расчет КРП'!G18</f>
        <v>9.7467943448089631</v>
      </c>
      <c r="J20" s="103" t="s">
        <v>8</v>
      </c>
      <c r="K20" s="107">
        <f t="shared" si="124"/>
        <v>7.0848412638810906E-2</v>
      </c>
      <c r="L20" s="76">
        <f t="shared" si="7"/>
        <v>980214.46166097699</v>
      </c>
      <c r="M20" s="72">
        <f t="shared" si="8"/>
        <v>0.12391772386766434</v>
      </c>
      <c r="N20" s="30" t="s">
        <v>8</v>
      </c>
      <c r="O20" s="33">
        <f t="shared" si="9"/>
        <v>4.7849207264912152E-2</v>
      </c>
      <c r="P20" s="34">
        <f t="shared" si="10"/>
        <v>1340945.6278220974</v>
      </c>
      <c r="Q20" s="79">
        <f t="shared" si="11"/>
        <v>1340945.6278220974</v>
      </c>
      <c r="R20" s="145" t="s">
        <v>8</v>
      </c>
      <c r="S20" s="30" t="s">
        <v>8</v>
      </c>
      <c r="T20" s="35">
        <f t="shared" si="12"/>
        <v>0.1965172045397563</v>
      </c>
      <c r="U20" s="33">
        <f t="shared" si="13"/>
        <v>7.9093504134312709E-2</v>
      </c>
      <c r="V20" s="52">
        <f t="shared" si="14"/>
        <v>2754592.1091649872</v>
      </c>
      <c r="W20" s="79">
        <f t="shared" si="15"/>
        <v>2754592.1091649872</v>
      </c>
      <c r="X20" s="75" t="s">
        <v>8</v>
      </c>
      <c r="Y20" s="30" t="s">
        <v>8</v>
      </c>
      <c r="Z20" s="35">
        <f t="shared" si="16"/>
        <v>0.34565222719807404</v>
      </c>
      <c r="AA20" s="33">
        <f t="shared" si="17"/>
        <v>3.2270653673999616E-2</v>
      </c>
      <c r="AB20" s="52">
        <f t="shared" si="18"/>
        <v>1377174.1500624469</v>
      </c>
      <c r="AC20" s="79">
        <f t="shared" si="19"/>
        <v>616253.23211033538</v>
      </c>
      <c r="AD20" s="75" t="s">
        <v>8</v>
      </c>
      <c r="AE20" s="30" t="s">
        <v>8</v>
      </c>
      <c r="AF20" s="35">
        <f t="shared" si="20"/>
        <v>0.37901649170324458</v>
      </c>
      <c r="AG20" s="33">
        <f t="shared" si="21"/>
        <v>4.5390003797968537E-2</v>
      </c>
      <c r="AH20" s="52">
        <f t="shared" si="22"/>
        <v>2077384.9139121613</v>
      </c>
      <c r="AI20" s="79">
        <f t="shared" si="23"/>
        <v>0</v>
      </c>
      <c r="AJ20" s="75" t="s">
        <v>8</v>
      </c>
      <c r="AK20" s="30" t="s">
        <v>8</v>
      </c>
      <c r="AL20" s="35">
        <f t="shared" si="24"/>
        <v>0.37901649170324458</v>
      </c>
      <c r="AM20" s="33">
        <f t="shared" si="25"/>
        <v>4.5390003797968537E-2</v>
      </c>
      <c r="AN20" s="52">
        <f t="shared" si="26"/>
        <v>2077384.9139121613</v>
      </c>
      <c r="AO20" s="79">
        <f t="shared" si="27"/>
        <v>0</v>
      </c>
      <c r="AP20" s="75" t="s">
        <v>8</v>
      </c>
      <c r="AQ20" s="30" t="s">
        <v>8</v>
      </c>
      <c r="AR20" s="35">
        <f t="shared" si="28"/>
        <v>0.37901649170324458</v>
      </c>
      <c r="AS20" s="33">
        <f t="shared" si="29"/>
        <v>4.5390003797968537E-2</v>
      </c>
      <c r="AT20" s="52">
        <f t="shared" si="30"/>
        <v>2077384.9139121613</v>
      </c>
      <c r="AU20" s="79">
        <f t="shared" si="31"/>
        <v>0</v>
      </c>
      <c r="AV20" s="75" t="s">
        <v>8</v>
      </c>
      <c r="AW20" s="30" t="s">
        <v>8</v>
      </c>
      <c r="AX20" s="35">
        <f t="shared" si="32"/>
        <v>0.37901649170324458</v>
      </c>
      <c r="AY20" s="33">
        <f t="shared" si="33"/>
        <v>4.5390003797968537E-2</v>
      </c>
      <c r="AZ20" s="52">
        <f t="shared" si="34"/>
        <v>2077384.9139121613</v>
      </c>
      <c r="BA20" s="79">
        <f t="shared" si="35"/>
        <v>0</v>
      </c>
      <c r="BB20" s="75" t="s">
        <v>8</v>
      </c>
      <c r="BC20" s="30" t="s">
        <v>8</v>
      </c>
      <c r="BD20" s="35">
        <f t="shared" si="36"/>
        <v>0.37901649170324458</v>
      </c>
      <c r="BE20" s="33">
        <f t="shared" si="37"/>
        <v>4.5390003797968537E-2</v>
      </c>
      <c r="BF20" s="52">
        <f t="shared" si="38"/>
        <v>2077384.9139121613</v>
      </c>
      <c r="BG20" s="79">
        <f t="shared" si="39"/>
        <v>0</v>
      </c>
      <c r="BH20" s="75" t="s">
        <v>8</v>
      </c>
      <c r="BI20" s="30" t="s">
        <v>8</v>
      </c>
      <c r="BJ20" s="35">
        <f t="shared" si="40"/>
        <v>0.37901649170324458</v>
      </c>
      <c r="BK20" s="33">
        <f t="shared" si="41"/>
        <v>4.5390003797968537E-2</v>
      </c>
      <c r="BL20" s="52">
        <f t="shared" si="42"/>
        <v>2077384.9139121613</v>
      </c>
      <c r="BM20" s="79">
        <f t="shared" si="43"/>
        <v>0</v>
      </c>
      <c r="BN20" s="75" t="s">
        <v>8</v>
      </c>
      <c r="BO20" s="30" t="s">
        <v>8</v>
      </c>
      <c r="BP20" s="35">
        <f t="shared" si="44"/>
        <v>0.37901649170324458</v>
      </c>
      <c r="BQ20" s="33">
        <f t="shared" si="45"/>
        <v>4.5390003797968537E-2</v>
      </c>
      <c r="BR20" s="52">
        <f t="shared" si="46"/>
        <v>2077384.9139121613</v>
      </c>
      <c r="BS20" s="114">
        <f t="shared" si="47"/>
        <v>0</v>
      </c>
      <c r="BT20" s="75" t="s">
        <v>8</v>
      </c>
      <c r="BU20" s="30" t="s">
        <v>8</v>
      </c>
      <c r="BV20" s="35">
        <f t="shared" si="125"/>
        <v>0.37901649170324458</v>
      </c>
      <c r="BW20" s="33">
        <f t="shared" si="48"/>
        <v>4.5390003797968537E-2</v>
      </c>
      <c r="BX20" s="52">
        <f t="shared" si="49"/>
        <v>2077384.9139121613</v>
      </c>
      <c r="BY20" s="114">
        <f t="shared" si="50"/>
        <v>0</v>
      </c>
      <c r="BZ20" s="75" t="s">
        <v>8</v>
      </c>
      <c r="CA20" s="30" t="s">
        <v>8</v>
      </c>
      <c r="CB20" s="35">
        <f t="shared" si="126"/>
        <v>0.37901649170324458</v>
      </c>
      <c r="CC20" s="33">
        <f t="shared" si="51"/>
        <v>4.5390003797968537E-2</v>
      </c>
      <c r="CD20" s="52">
        <f t="shared" si="52"/>
        <v>2077384.9139121613</v>
      </c>
      <c r="CE20" s="114">
        <f t="shared" si="53"/>
        <v>0</v>
      </c>
      <c r="CF20" s="75" t="s">
        <v>8</v>
      </c>
      <c r="CG20" s="30" t="s">
        <v>8</v>
      </c>
      <c r="CH20" s="35">
        <f t="shared" si="54"/>
        <v>0.37901649170324458</v>
      </c>
      <c r="CI20" s="33">
        <f t="shared" si="55"/>
        <v>4.5390003797968537E-2</v>
      </c>
      <c r="CJ20" s="52">
        <f t="shared" si="56"/>
        <v>2077384.9139121613</v>
      </c>
      <c r="CK20" s="114">
        <f t="shared" si="57"/>
        <v>0</v>
      </c>
      <c r="CL20" s="75" t="s">
        <v>8</v>
      </c>
      <c r="CM20" s="30" t="s">
        <v>8</v>
      </c>
      <c r="CN20" s="35">
        <f t="shared" si="127"/>
        <v>0.37901649170324458</v>
      </c>
      <c r="CO20" s="33">
        <f t="shared" si="58"/>
        <v>4.5390003797968537E-2</v>
      </c>
      <c r="CP20" s="52">
        <f t="shared" si="59"/>
        <v>2077384.9139121613</v>
      </c>
      <c r="CQ20" s="114">
        <f t="shared" si="60"/>
        <v>0</v>
      </c>
      <c r="CR20" s="75" t="s">
        <v>8</v>
      </c>
      <c r="CS20" s="30" t="s">
        <v>8</v>
      </c>
      <c r="CT20" s="35">
        <f t="shared" si="128"/>
        <v>0.37901649170324458</v>
      </c>
      <c r="CU20" s="33">
        <f t="shared" si="61"/>
        <v>4.5390003797968537E-2</v>
      </c>
      <c r="CV20" s="52">
        <f t="shared" si="62"/>
        <v>2077384.9139121613</v>
      </c>
      <c r="CW20" s="114">
        <f t="shared" si="63"/>
        <v>0</v>
      </c>
      <c r="CX20" s="75" t="s">
        <v>8</v>
      </c>
      <c r="CY20" s="30" t="s">
        <v>8</v>
      </c>
      <c r="CZ20" s="35">
        <f t="shared" si="129"/>
        <v>0.37901649170324458</v>
      </c>
      <c r="DA20" s="33">
        <f t="shared" si="64"/>
        <v>4.5390003797968537E-2</v>
      </c>
      <c r="DB20" s="52">
        <f t="shared" si="65"/>
        <v>2077384.9139121613</v>
      </c>
      <c r="DC20" s="114">
        <f t="shared" si="66"/>
        <v>0</v>
      </c>
      <c r="DD20" s="75" t="s">
        <v>8</v>
      </c>
      <c r="DE20" s="30" t="s">
        <v>8</v>
      </c>
      <c r="DF20" s="35">
        <f t="shared" si="130"/>
        <v>0.37901649170324458</v>
      </c>
      <c r="DG20" s="33">
        <f t="shared" si="67"/>
        <v>4.5390003797968537E-2</v>
      </c>
      <c r="DH20" s="52">
        <f t="shared" si="68"/>
        <v>2077384.9139121613</v>
      </c>
      <c r="DI20" s="114">
        <f t="shared" si="69"/>
        <v>0</v>
      </c>
      <c r="DJ20" s="75" t="s">
        <v>8</v>
      </c>
      <c r="DK20" s="30" t="s">
        <v>8</v>
      </c>
      <c r="DL20" s="35">
        <f t="shared" si="131"/>
        <v>0.37901649170324458</v>
      </c>
      <c r="DM20" s="33">
        <f t="shared" si="70"/>
        <v>4.5390003797968537E-2</v>
      </c>
      <c r="DN20" s="52">
        <f t="shared" si="71"/>
        <v>2077384.9139121613</v>
      </c>
      <c r="DO20" s="114">
        <f t="shared" si="72"/>
        <v>0</v>
      </c>
      <c r="DP20" s="75" t="s">
        <v>8</v>
      </c>
      <c r="DQ20" s="30" t="s">
        <v>8</v>
      </c>
      <c r="DR20" s="35">
        <f t="shared" si="132"/>
        <v>0.37901649170324458</v>
      </c>
      <c r="DS20" s="33">
        <f t="shared" si="73"/>
        <v>4.5390003797968537E-2</v>
      </c>
      <c r="DT20" s="52">
        <f t="shared" si="74"/>
        <v>2077384.9139121613</v>
      </c>
      <c r="DU20" s="114">
        <f t="shared" si="75"/>
        <v>0</v>
      </c>
      <c r="DV20" s="75" t="s">
        <v>8</v>
      </c>
      <c r="DW20" s="30" t="s">
        <v>8</v>
      </c>
      <c r="DX20" s="35">
        <f t="shared" si="76"/>
        <v>0.37901649170324458</v>
      </c>
      <c r="DY20" s="33">
        <f t="shared" si="77"/>
        <v>4.5390003797968537E-2</v>
      </c>
      <c r="DZ20" s="34">
        <f t="shared" si="78"/>
        <v>2077384.9139121613</v>
      </c>
      <c r="EA20" s="79">
        <f t="shared" si="79"/>
        <v>0</v>
      </c>
      <c r="EB20" s="75" t="s">
        <v>8</v>
      </c>
      <c r="EC20" s="30" t="s">
        <v>8</v>
      </c>
      <c r="ED20" s="35">
        <f t="shared" si="80"/>
        <v>0.37901649170324458</v>
      </c>
      <c r="EE20" s="33">
        <f t="shared" si="81"/>
        <v>4.5390003797968537E-2</v>
      </c>
      <c r="EF20" s="34">
        <f t="shared" si="82"/>
        <v>2077384.9139121613</v>
      </c>
      <c r="EG20" s="79">
        <f t="shared" si="83"/>
        <v>0</v>
      </c>
      <c r="EH20" s="75" t="s">
        <v>8</v>
      </c>
      <c r="EI20" s="30" t="s">
        <v>8</v>
      </c>
      <c r="EJ20" s="35">
        <f t="shared" si="84"/>
        <v>0.37901649170324458</v>
      </c>
      <c r="EK20" s="33">
        <f t="shared" si="85"/>
        <v>4.5390003797968537E-2</v>
      </c>
      <c r="EL20" s="34">
        <f t="shared" si="86"/>
        <v>2077384.9139121613</v>
      </c>
      <c r="EM20" s="79">
        <f t="shared" si="87"/>
        <v>0</v>
      </c>
      <c r="EN20" s="75" t="s">
        <v>8</v>
      </c>
      <c r="EO20" s="30" t="s">
        <v>8</v>
      </c>
      <c r="EP20" s="35">
        <f t="shared" si="88"/>
        <v>0.37901649170324458</v>
      </c>
      <c r="EQ20" s="33">
        <f t="shared" si="89"/>
        <v>4.5390003797968537E-2</v>
      </c>
      <c r="ER20" s="34">
        <f t="shared" si="90"/>
        <v>2077384.9139121613</v>
      </c>
      <c r="ES20" s="79">
        <f t="shared" si="91"/>
        <v>0</v>
      </c>
      <c r="ET20" s="75" t="s">
        <v>8</v>
      </c>
      <c r="EU20" s="30" t="s">
        <v>8</v>
      </c>
      <c r="EV20" s="35">
        <f t="shared" si="92"/>
        <v>0.37901649170324458</v>
      </c>
      <c r="EW20" s="33">
        <f t="shared" si="93"/>
        <v>4.5390003797968537E-2</v>
      </c>
      <c r="EX20" s="34">
        <f t="shared" si="94"/>
        <v>2077384.9139121613</v>
      </c>
      <c r="EY20" s="79">
        <f t="shared" si="95"/>
        <v>0</v>
      </c>
      <c r="EZ20" s="75" t="s">
        <v>8</v>
      </c>
      <c r="FA20" s="30" t="s">
        <v>8</v>
      </c>
      <c r="FB20" s="35">
        <f t="shared" si="96"/>
        <v>0.37901649170324458</v>
      </c>
      <c r="FC20" s="33">
        <f t="shared" si="97"/>
        <v>4.5390003797968537E-2</v>
      </c>
      <c r="FD20" s="34">
        <f t="shared" si="98"/>
        <v>2077384.9139121613</v>
      </c>
      <c r="FE20" s="79">
        <f t="shared" si="99"/>
        <v>0</v>
      </c>
      <c r="FF20" s="75" t="s">
        <v>8</v>
      </c>
      <c r="FG20" s="30" t="s">
        <v>8</v>
      </c>
      <c r="FH20" s="35">
        <f t="shared" si="100"/>
        <v>0.37901649170324458</v>
      </c>
      <c r="FI20" s="33">
        <f t="shared" si="101"/>
        <v>4.5390003797968537E-2</v>
      </c>
      <c r="FJ20" s="34">
        <f t="shared" si="102"/>
        <v>2077384.9139121613</v>
      </c>
      <c r="FK20" s="79">
        <f t="shared" si="103"/>
        <v>0</v>
      </c>
      <c r="FL20" s="75" t="s">
        <v>8</v>
      </c>
      <c r="FM20" s="30" t="s">
        <v>8</v>
      </c>
      <c r="FN20" s="35">
        <f t="shared" si="104"/>
        <v>0.37901649170324458</v>
      </c>
      <c r="FO20" s="33">
        <f t="shared" si="105"/>
        <v>4.5390003797968537E-2</v>
      </c>
      <c r="FP20" s="34">
        <f t="shared" si="106"/>
        <v>2077384.9139121613</v>
      </c>
      <c r="FQ20" s="79">
        <f t="shared" si="107"/>
        <v>0</v>
      </c>
      <c r="FR20" s="75" t="s">
        <v>8</v>
      </c>
      <c r="FS20" s="30" t="s">
        <v>8</v>
      </c>
      <c r="FT20" s="35">
        <f t="shared" si="108"/>
        <v>0.37901649170324458</v>
      </c>
      <c r="FU20" s="33">
        <f t="shared" si="109"/>
        <v>4.5390003797968537E-2</v>
      </c>
      <c r="FV20" s="34">
        <f t="shared" si="110"/>
        <v>2077384.9139121613</v>
      </c>
      <c r="FW20" s="79">
        <f t="shared" si="111"/>
        <v>0</v>
      </c>
      <c r="FX20" s="75" t="s">
        <v>8</v>
      </c>
      <c r="FY20" s="30" t="s">
        <v>8</v>
      </c>
      <c r="FZ20" s="35">
        <f t="shared" si="112"/>
        <v>0.37901649170324458</v>
      </c>
      <c r="GA20" s="33">
        <f t="shared" si="113"/>
        <v>4.5390003797968537E-2</v>
      </c>
      <c r="GB20" s="34">
        <f t="shared" si="114"/>
        <v>2077384.9139121613</v>
      </c>
      <c r="GC20" s="79">
        <f t="shared" si="115"/>
        <v>0</v>
      </c>
      <c r="GD20" s="75" t="s">
        <v>8</v>
      </c>
      <c r="GE20" s="30" t="s">
        <v>8</v>
      </c>
      <c r="GF20" s="35">
        <f t="shared" si="116"/>
        <v>0.37901649170324458</v>
      </c>
      <c r="GG20" s="33">
        <f t="shared" si="117"/>
        <v>4.5390003797968537E-2</v>
      </c>
      <c r="GH20" s="34">
        <f t="shared" si="118"/>
        <v>2077384.9139121613</v>
      </c>
      <c r="GI20" s="114">
        <f t="shared" si="119"/>
        <v>0</v>
      </c>
      <c r="GJ20" s="152">
        <f t="shared" si="133"/>
        <v>4711790.9690974196</v>
      </c>
      <c r="GK20" s="87">
        <f t="shared" si="120"/>
        <v>5692005.4307583962</v>
      </c>
      <c r="GL20" s="194">
        <f t="shared" si="121"/>
        <v>0.37901649170324453</v>
      </c>
      <c r="GM20" s="197"/>
      <c r="GN20" s="201">
        <v>5692005.4299999997</v>
      </c>
      <c r="GO20" s="197"/>
      <c r="GP20" s="201">
        <v>5431142.5300000003</v>
      </c>
      <c r="GQ20" s="197">
        <f t="shared" si="122"/>
        <v>260862.9007583959</v>
      </c>
      <c r="GR20" s="224">
        <f t="shared" si="123"/>
        <v>4.8030943639845134</v>
      </c>
    </row>
    <row r="21" spans="1:200" s="25" customFormat="1" ht="25.5" x14ac:dyDescent="0.2">
      <c r="A21" s="171" t="s">
        <v>190</v>
      </c>
      <c r="B21" s="141" t="s">
        <v>8</v>
      </c>
      <c r="C21" s="141" t="s">
        <v>8</v>
      </c>
      <c r="D21" s="141" t="s">
        <v>8</v>
      </c>
      <c r="E21" s="141" t="s">
        <v>8</v>
      </c>
      <c r="F21" s="141" t="s">
        <v>8</v>
      </c>
      <c r="G21" s="126">
        <f>'Исходные данные'!C23</f>
        <v>206</v>
      </c>
      <c r="H21" s="127">
        <f>'Исходные данные'!D23</f>
        <v>169925.22999999998</v>
      </c>
      <c r="I21" s="128">
        <f>'Расчет КРП'!G19</f>
        <v>16.99264546796643</v>
      </c>
      <c r="J21" s="129" t="s">
        <v>8</v>
      </c>
      <c r="K21" s="130">
        <f t="shared" si="124"/>
        <v>3.1994566933310778E-2</v>
      </c>
      <c r="L21" s="131">
        <f t="shared" si="7"/>
        <v>161668.67822430845</v>
      </c>
      <c r="M21" s="132">
        <f t="shared" si="8"/>
        <v>6.2434539540483461E-2</v>
      </c>
      <c r="N21" s="133" t="s">
        <v>8</v>
      </c>
      <c r="O21" s="134">
        <f t="shared" si="9"/>
        <v>0.10933239159209303</v>
      </c>
      <c r="P21" s="34">
        <f t="shared" si="10"/>
        <v>881027.05577389838</v>
      </c>
      <c r="Q21" s="135">
        <f t="shared" si="11"/>
        <v>881027.05577389838</v>
      </c>
      <c r="R21" s="146" t="s">
        <v>8</v>
      </c>
      <c r="S21" s="133" t="s">
        <v>8</v>
      </c>
      <c r="T21" s="136">
        <f t="shared" si="12"/>
        <v>0.2283197297857209</v>
      </c>
      <c r="U21" s="134">
        <f t="shared" si="13"/>
        <v>4.7290978888348101E-2</v>
      </c>
      <c r="V21" s="52">
        <f t="shared" si="14"/>
        <v>473585.89782954875</v>
      </c>
      <c r="W21" s="135">
        <f t="shared" si="15"/>
        <v>473585.89782954875</v>
      </c>
      <c r="X21" s="125" t="s">
        <v>8</v>
      </c>
      <c r="Y21" s="133" t="s">
        <v>8</v>
      </c>
      <c r="Z21" s="136">
        <f t="shared" si="16"/>
        <v>0.3174893940361655</v>
      </c>
      <c r="AA21" s="134">
        <f t="shared" si="17"/>
        <v>6.0433486835908157E-2</v>
      </c>
      <c r="AB21" s="52">
        <f t="shared" si="18"/>
        <v>741588.05867407087</v>
      </c>
      <c r="AC21" s="135">
        <f t="shared" si="19"/>
        <v>331843.31700649671</v>
      </c>
      <c r="AD21" s="125" t="s">
        <v>8</v>
      </c>
      <c r="AE21" s="133" t="s">
        <v>8</v>
      </c>
      <c r="AF21" s="136">
        <f t="shared" si="20"/>
        <v>0.37997089379541976</v>
      </c>
      <c r="AG21" s="134">
        <f t="shared" si="21"/>
        <v>4.4435601705793359E-2</v>
      </c>
      <c r="AH21" s="52">
        <f t="shared" si="22"/>
        <v>584779.03665440355</v>
      </c>
      <c r="AI21" s="135">
        <f t="shared" si="23"/>
        <v>0</v>
      </c>
      <c r="AJ21" s="125" t="s">
        <v>8</v>
      </c>
      <c r="AK21" s="133" t="s">
        <v>8</v>
      </c>
      <c r="AL21" s="136">
        <f t="shared" si="24"/>
        <v>0.37997089379541976</v>
      </c>
      <c r="AM21" s="134">
        <f t="shared" si="25"/>
        <v>4.4435601705793359E-2</v>
      </c>
      <c r="AN21" s="52">
        <f t="shared" si="26"/>
        <v>584779.03665440355</v>
      </c>
      <c r="AO21" s="135">
        <f t="shared" si="27"/>
        <v>0</v>
      </c>
      <c r="AP21" s="125" t="s">
        <v>8</v>
      </c>
      <c r="AQ21" s="133" t="s">
        <v>8</v>
      </c>
      <c r="AR21" s="136">
        <f t="shared" si="28"/>
        <v>0.37997089379541976</v>
      </c>
      <c r="AS21" s="134">
        <f t="shared" si="29"/>
        <v>4.4435601705793359E-2</v>
      </c>
      <c r="AT21" s="52">
        <f t="shared" si="30"/>
        <v>584779.03665440355</v>
      </c>
      <c r="AU21" s="135">
        <f t="shared" si="31"/>
        <v>0</v>
      </c>
      <c r="AV21" s="125" t="s">
        <v>8</v>
      </c>
      <c r="AW21" s="133" t="s">
        <v>8</v>
      </c>
      <c r="AX21" s="136">
        <f t="shared" si="32"/>
        <v>0.37997089379541976</v>
      </c>
      <c r="AY21" s="134">
        <f t="shared" si="33"/>
        <v>4.4435601705793359E-2</v>
      </c>
      <c r="AZ21" s="52">
        <f t="shared" si="34"/>
        <v>584779.03665440355</v>
      </c>
      <c r="BA21" s="135">
        <f t="shared" si="35"/>
        <v>0</v>
      </c>
      <c r="BB21" s="125" t="s">
        <v>8</v>
      </c>
      <c r="BC21" s="133" t="s">
        <v>8</v>
      </c>
      <c r="BD21" s="136">
        <f t="shared" si="36"/>
        <v>0.37997089379541976</v>
      </c>
      <c r="BE21" s="134">
        <f t="shared" si="37"/>
        <v>4.4435601705793359E-2</v>
      </c>
      <c r="BF21" s="52">
        <f t="shared" si="38"/>
        <v>584779.03665440355</v>
      </c>
      <c r="BG21" s="135">
        <f t="shared" si="39"/>
        <v>0</v>
      </c>
      <c r="BH21" s="125" t="s">
        <v>8</v>
      </c>
      <c r="BI21" s="133" t="s">
        <v>8</v>
      </c>
      <c r="BJ21" s="136">
        <f t="shared" si="40"/>
        <v>0.37997089379541976</v>
      </c>
      <c r="BK21" s="134">
        <f t="shared" si="41"/>
        <v>4.4435601705793359E-2</v>
      </c>
      <c r="BL21" s="52">
        <f t="shared" si="42"/>
        <v>584779.03665440355</v>
      </c>
      <c r="BM21" s="135">
        <f t="shared" si="43"/>
        <v>0</v>
      </c>
      <c r="BN21" s="125" t="s">
        <v>8</v>
      </c>
      <c r="BO21" s="133" t="s">
        <v>8</v>
      </c>
      <c r="BP21" s="136">
        <f t="shared" si="44"/>
        <v>0.37997089379541976</v>
      </c>
      <c r="BQ21" s="134">
        <f t="shared" si="45"/>
        <v>4.4435601705793359E-2</v>
      </c>
      <c r="BR21" s="52">
        <f t="shared" si="46"/>
        <v>584779.03665440355</v>
      </c>
      <c r="BS21" s="137">
        <f t="shared" si="47"/>
        <v>0</v>
      </c>
      <c r="BT21" s="125" t="s">
        <v>8</v>
      </c>
      <c r="BU21" s="133" t="s">
        <v>8</v>
      </c>
      <c r="BV21" s="136">
        <f t="shared" si="125"/>
        <v>0.37997089379541976</v>
      </c>
      <c r="BW21" s="134">
        <f t="shared" si="48"/>
        <v>4.4435601705793359E-2</v>
      </c>
      <c r="BX21" s="52">
        <f t="shared" si="49"/>
        <v>584779.03665440355</v>
      </c>
      <c r="BY21" s="137">
        <f t="shared" si="50"/>
        <v>0</v>
      </c>
      <c r="BZ21" s="125" t="s">
        <v>8</v>
      </c>
      <c r="CA21" s="133" t="s">
        <v>8</v>
      </c>
      <c r="CB21" s="136">
        <f t="shared" si="126"/>
        <v>0.37997089379541976</v>
      </c>
      <c r="CC21" s="134">
        <f t="shared" si="51"/>
        <v>4.4435601705793359E-2</v>
      </c>
      <c r="CD21" s="52">
        <f t="shared" si="52"/>
        <v>584779.03665440355</v>
      </c>
      <c r="CE21" s="137">
        <f t="shared" si="53"/>
        <v>0</v>
      </c>
      <c r="CF21" s="125" t="s">
        <v>8</v>
      </c>
      <c r="CG21" s="133" t="s">
        <v>8</v>
      </c>
      <c r="CH21" s="136">
        <f t="shared" si="54"/>
        <v>0.37997089379541976</v>
      </c>
      <c r="CI21" s="134">
        <f t="shared" si="55"/>
        <v>4.4435601705793359E-2</v>
      </c>
      <c r="CJ21" s="52">
        <f t="shared" si="56"/>
        <v>584779.03665440355</v>
      </c>
      <c r="CK21" s="137">
        <f t="shared" si="57"/>
        <v>0</v>
      </c>
      <c r="CL21" s="125" t="s">
        <v>8</v>
      </c>
      <c r="CM21" s="133" t="s">
        <v>8</v>
      </c>
      <c r="CN21" s="136">
        <f t="shared" si="127"/>
        <v>0.37997089379541976</v>
      </c>
      <c r="CO21" s="134">
        <f t="shared" si="58"/>
        <v>4.4435601705793359E-2</v>
      </c>
      <c r="CP21" s="52">
        <f t="shared" si="59"/>
        <v>584779.03665440355</v>
      </c>
      <c r="CQ21" s="137">
        <f t="shared" si="60"/>
        <v>0</v>
      </c>
      <c r="CR21" s="125" t="s">
        <v>8</v>
      </c>
      <c r="CS21" s="133" t="s">
        <v>8</v>
      </c>
      <c r="CT21" s="136">
        <f t="shared" si="128"/>
        <v>0.37997089379541976</v>
      </c>
      <c r="CU21" s="134">
        <f t="shared" si="61"/>
        <v>4.4435601705793359E-2</v>
      </c>
      <c r="CV21" s="52">
        <f t="shared" si="62"/>
        <v>584779.03665440355</v>
      </c>
      <c r="CW21" s="137">
        <f t="shared" si="63"/>
        <v>0</v>
      </c>
      <c r="CX21" s="125" t="s">
        <v>8</v>
      </c>
      <c r="CY21" s="133" t="s">
        <v>8</v>
      </c>
      <c r="CZ21" s="136">
        <f t="shared" si="129"/>
        <v>0.37997089379541976</v>
      </c>
      <c r="DA21" s="134">
        <f t="shared" si="64"/>
        <v>4.4435601705793359E-2</v>
      </c>
      <c r="DB21" s="52">
        <f t="shared" si="65"/>
        <v>584779.03665440355</v>
      </c>
      <c r="DC21" s="137">
        <f t="shared" si="66"/>
        <v>0</v>
      </c>
      <c r="DD21" s="125" t="s">
        <v>8</v>
      </c>
      <c r="DE21" s="133" t="s">
        <v>8</v>
      </c>
      <c r="DF21" s="136">
        <f t="shared" si="130"/>
        <v>0.37997089379541976</v>
      </c>
      <c r="DG21" s="134">
        <f t="shared" si="67"/>
        <v>4.4435601705793359E-2</v>
      </c>
      <c r="DH21" s="52">
        <f t="shared" si="68"/>
        <v>584779.03665440355</v>
      </c>
      <c r="DI21" s="137">
        <f t="shared" si="69"/>
        <v>0</v>
      </c>
      <c r="DJ21" s="125" t="s">
        <v>8</v>
      </c>
      <c r="DK21" s="133" t="s">
        <v>8</v>
      </c>
      <c r="DL21" s="136">
        <f t="shared" si="131"/>
        <v>0.37997089379541976</v>
      </c>
      <c r="DM21" s="134">
        <f t="shared" si="70"/>
        <v>4.4435601705793359E-2</v>
      </c>
      <c r="DN21" s="52">
        <f t="shared" si="71"/>
        <v>584779.03665440355</v>
      </c>
      <c r="DO21" s="137">
        <f t="shared" si="72"/>
        <v>0</v>
      </c>
      <c r="DP21" s="125" t="s">
        <v>8</v>
      </c>
      <c r="DQ21" s="133" t="s">
        <v>8</v>
      </c>
      <c r="DR21" s="136">
        <f t="shared" si="132"/>
        <v>0.37997089379541976</v>
      </c>
      <c r="DS21" s="134">
        <f t="shared" si="73"/>
        <v>4.4435601705793359E-2</v>
      </c>
      <c r="DT21" s="52">
        <f t="shared" si="74"/>
        <v>584779.03665440355</v>
      </c>
      <c r="DU21" s="137">
        <f t="shared" si="75"/>
        <v>0</v>
      </c>
      <c r="DV21" s="125" t="s">
        <v>8</v>
      </c>
      <c r="DW21" s="133" t="s">
        <v>8</v>
      </c>
      <c r="DX21" s="35">
        <f t="shared" si="76"/>
        <v>0.37997089379541976</v>
      </c>
      <c r="DY21" s="134">
        <f t="shared" si="77"/>
        <v>4.4435601705793359E-2</v>
      </c>
      <c r="DZ21" s="34">
        <f t="shared" si="78"/>
        <v>584779.03665440355</v>
      </c>
      <c r="EA21" s="135">
        <f t="shared" si="79"/>
        <v>0</v>
      </c>
      <c r="EB21" s="125" t="s">
        <v>8</v>
      </c>
      <c r="EC21" s="133" t="s">
        <v>8</v>
      </c>
      <c r="ED21" s="35">
        <f t="shared" si="80"/>
        <v>0.37997089379541976</v>
      </c>
      <c r="EE21" s="134">
        <f t="shared" si="81"/>
        <v>4.4435601705793359E-2</v>
      </c>
      <c r="EF21" s="34">
        <f t="shared" si="82"/>
        <v>584779.03665440355</v>
      </c>
      <c r="EG21" s="135">
        <f t="shared" si="83"/>
        <v>0</v>
      </c>
      <c r="EH21" s="125" t="s">
        <v>8</v>
      </c>
      <c r="EI21" s="133" t="s">
        <v>8</v>
      </c>
      <c r="EJ21" s="35">
        <f t="shared" si="84"/>
        <v>0.37997089379541976</v>
      </c>
      <c r="EK21" s="134">
        <f t="shared" si="85"/>
        <v>4.4435601705793359E-2</v>
      </c>
      <c r="EL21" s="34">
        <f t="shared" si="86"/>
        <v>584779.03665440355</v>
      </c>
      <c r="EM21" s="135">
        <f t="shared" si="87"/>
        <v>0</v>
      </c>
      <c r="EN21" s="125" t="s">
        <v>8</v>
      </c>
      <c r="EO21" s="133" t="s">
        <v>8</v>
      </c>
      <c r="EP21" s="35">
        <f t="shared" si="88"/>
        <v>0.37997089379541976</v>
      </c>
      <c r="EQ21" s="134">
        <f t="shared" si="89"/>
        <v>4.4435601705793359E-2</v>
      </c>
      <c r="ER21" s="34">
        <f t="shared" si="90"/>
        <v>584779.03665440355</v>
      </c>
      <c r="ES21" s="135">
        <f t="shared" si="91"/>
        <v>0</v>
      </c>
      <c r="ET21" s="125" t="s">
        <v>8</v>
      </c>
      <c r="EU21" s="133" t="s">
        <v>8</v>
      </c>
      <c r="EV21" s="35">
        <f t="shared" si="92"/>
        <v>0.37997089379541976</v>
      </c>
      <c r="EW21" s="134">
        <f t="shared" si="93"/>
        <v>4.4435601705793359E-2</v>
      </c>
      <c r="EX21" s="34">
        <f t="shared" si="94"/>
        <v>584779.03665440355</v>
      </c>
      <c r="EY21" s="135">
        <f t="shared" si="95"/>
        <v>0</v>
      </c>
      <c r="EZ21" s="125" t="s">
        <v>8</v>
      </c>
      <c r="FA21" s="133" t="s">
        <v>8</v>
      </c>
      <c r="FB21" s="35">
        <f t="shared" si="96"/>
        <v>0.37997089379541976</v>
      </c>
      <c r="FC21" s="134">
        <f t="shared" si="97"/>
        <v>4.4435601705793359E-2</v>
      </c>
      <c r="FD21" s="34">
        <f t="shared" si="98"/>
        <v>584779.03665440355</v>
      </c>
      <c r="FE21" s="135">
        <f t="shared" si="99"/>
        <v>0</v>
      </c>
      <c r="FF21" s="125" t="s">
        <v>8</v>
      </c>
      <c r="FG21" s="133" t="s">
        <v>8</v>
      </c>
      <c r="FH21" s="35">
        <f t="shared" si="100"/>
        <v>0.37997089379541976</v>
      </c>
      <c r="FI21" s="134">
        <f t="shared" si="101"/>
        <v>4.4435601705793359E-2</v>
      </c>
      <c r="FJ21" s="34">
        <f t="shared" si="102"/>
        <v>584779.03665440355</v>
      </c>
      <c r="FK21" s="135">
        <f t="shared" si="103"/>
        <v>0</v>
      </c>
      <c r="FL21" s="125" t="s">
        <v>8</v>
      </c>
      <c r="FM21" s="133" t="s">
        <v>8</v>
      </c>
      <c r="FN21" s="35">
        <f t="shared" si="104"/>
        <v>0.37997089379541976</v>
      </c>
      <c r="FO21" s="134">
        <f t="shared" si="105"/>
        <v>4.4435601705793359E-2</v>
      </c>
      <c r="FP21" s="34">
        <f t="shared" si="106"/>
        <v>584779.03665440355</v>
      </c>
      <c r="FQ21" s="135">
        <f t="shared" si="107"/>
        <v>0</v>
      </c>
      <c r="FR21" s="125" t="s">
        <v>8</v>
      </c>
      <c r="FS21" s="133" t="s">
        <v>8</v>
      </c>
      <c r="FT21" s="35">
        <f t="shared" si="108"/>
        <v>0.37997089379541976</v>
      </c>
      <c r="FU21" s="134">
        <f t="shared" si="109"/>
        <v>4.4435601705793359E-2</v>
      </c>
      <c r="FV21" s="34">
        <f t="shared" si="110"/>
        <v>584779.03665440355</v>
      </c>
      <c r="FW21" s="135">
        <f t="shared" si="111"/>
        <v>0</v>
      </c>
      <c r="FX21" s="125" t="s">
        <v>8</v>
      </c>
      <c r="FY21" s="133" t="s">
        <v>8</v>
      </c>
      <c r="FZ21" s="35">
        <f t="shared" si="112"/>
        <v>0.37997089379541976</v>
      </c>
      <c r="GA21" s="134">
        <f t="shared" si="113"/>
        <v>4.4435601705793359E-2</v>
      </c>
      <c r="GB21" s="34">
        <f t="shared" si="114"/>
        <v>584779.03665440355</v>
      </c>
      <c r="GC21" s="135">
        <f t="shared" si="115"/>
        <v>0</v>
      </c>
      <c r="GD21" s="125" t="s">
        <v>8</v>
      </c>
      <c r="GE21" s="133" t="s">
        <v>8</v>
      </c>
      <c r="GF21" s="35">
        <f t="shared" si="116"/>
        <v>0.37997089379541976</v>
      </c>
      <c r="GG21" s="134">
        <f t="shared" si="117"/>
        <v>4.4435601705793359E-2</v>
      </c>
      <c r="GH21" s="34">
        <f t="shared" si="118"/>
        <v>584779.03665440355</v>
      </c>
      <c r="GI21" s="137">
        <f t="shared" si="119"/>
        <v>0</v>
      </c>
      <c r="GJ21" s="152">
        <f t="shared" si="133"/>
        <v>1686456.2706099439</v>
      </c>
      <c r="GK21" s="87">
        <f t="shared" si="120"/>
        <v>1848124.9488342523</v>
      </c>
      <c r="GL21" s="194">
        <f t="shared" si="121"/>
        <v>0.37997089379541971</v>
      </c>
      <c r="GM21" s="197"/>
      <c r="GN21" s="201">
        <v>1848124.95</v>
      </c>
      <c r="GO21" s="197"/>
      <c r="GP21" s="201">
        <v>1762874.9</v>
      </c>
      <c r="GQ21" s="197">
        <f t="shared" si="122"/>
        <v>85250.048834252404</v>
      </c>
      <c r="GR21" s="224">
        <f t="shared" si="123"/>
        <v>4.835853572721021</v>
      </c>
    </row>
    <row r="22" spans="1:200" s="25" customFormat="1" x14ac:dyDescent="0.2">
      <c r="A22" s="171" t="s">
        <v>191</v>
      </c>
      <c r="B22" s="141" t="s">
        <v>8</v>
      </c>
      <c r="C22" s="141" t="s">
        <v>8</v>
      </c>
      <c r="D22" s="141" t="s">
        <v>8</v>
      </c>
      <c r="E22" s="141" t="s">
        <v>8</v>
      </c>
      <c r="F22" s="141" t="s">
        <v>8</v>
      </c>
      <c r="G22" s="126">
        <f>'Исходные данные'!C24</f>
        <v>474</v>
      </c>
      <c r="H22" s="127">
        <f>'Исходные данные'!D24</f>
        <v>429144.87</v>
      </c>
      <c r="I22" s="128">
        <f>'Расчет КРП'!G20</f>
        <v>16.431676725154983</v>
      </c>
      <c r="J22" s="129" t="s">
        <v>8</v>
      </c>
      <c r="K22" s="130">
        <f t="shared" si="124"/>
        <v>3.6315354507541524E-2</v>
      </c>
      <c r="L22" s="131">
        <f t="shared" si="7"/>
        <v>371994.91979768063</v>
      </c>
      <c r="M22" s="132">
        <f t="shared" si="8"/>
        <v>6.7794531661534416E-2</v>
      </c>
      <c r="N22" s="133" t="s">
        <v>8</v>
      </c>
      <c r="O22" s="134">
        <f t="shared" si="9"/>
        <v>0.10397239947104207</v>
      </c>
      <c r="P22" s="34">
        <f t="shared" si="10"/>
        <v>1864191.2749111806</v>
      </c>
      <c r="Q22" s="135">
        <f t="shared" si="11"/>
        <v>1864191.2749111806</v>
      </c>
      <c r="R22" s="146" t="s">
        <v>8</v>
      </c>
      <c r="S22" s="133" t="s">
        <v>8</v>
      </c>
      <c r="T22" s="136">
        <f t="shared" ref="T22:T29" si="134">(((H22+L22+Q22)/G22)/$J$30)/I22</f>
        <v>0.22554724350978586</v>
      </c>
      <c r="U22" s="134">
        <f t="shared" si="13"/>
        <v>5.0063465164283144E-2</v>
      </c>
      <c r="V22" s="52">
        <f t="shared" si="14"/>
        <v>1115509.7516275228</v>
      </c>
      <c r="W22" s="135">
        <f t="shared" si="15"/>
        <v>1115509.7516275228</v>
      </c>
      <c r="X22" s="125" t="s">
        <v>8</v>
      </c>
      <c r="Y22" s="133" t="s">
        <v>8</v>
      </c>
      <c r="Z22" s="136">
        <f t="shared" ref="Z22:Z29" si="135">(((H22+L22+Q22+W22)/G22)/$J$30)/I22</f>
        <v>0.31994457857981257</v>
      </c>
      <c r="AA22" s="134">
        <f t="shared" si="17"/>
        <v>5.7978302292261086E-2</v>
      </c>
      <c r="AB22" s="52">
        <f t="shared" si="18"/>
        <v>1583006.0575826087</v>
      </c>
      <c r="AC22" s="135">
        <f t="shared" si="19"/>
        <v>708358.19811988738</v>
      </c>
      <c r="AD22" s="125" t="s">
        <v>8</v>
      </c>
      <c r="AE22" s="133" t="s">
        <v>8</v>
      </c>
      <c r="AF22" s="136">
        <f t="shared" ref="AF22:AF29" si="136">(((H22+L22+Q22+W22+AC22)/G22)/$J$30)/I22</f>
        <v>0.3798876907578681</v>
      </c>
      <c r="AG22" s="134">
        <f t="shared" si="21"/>
        <v>4.451880474334502E-2</v>
      </c>
      <c r="AH22" s="52">
        <f t="shared" si="22"/>
        <v>1303575.6298673067</v>
      </c>
      <c r="AI22" s="135">
        <f t="shared" si="23"/>
        <v>0</v>
      </c>
      <c r="AJ22" s="125" t="s">
        <v>8</v>
      </c>
      <c r="AK22" s="133" t="s">
        <v>8</v>
      </c>
      <c r="AL22" s="136">
        <f t="shared" ref="AL22:AL29" si="137">(((H22+L22+Q22+W22+AC22+AI22)/G22)/$J$30)/I22</f>
        <v>0.3798876907578681</v>
      </c>
      <c r="AM22" s="134">
        <f t="shared" si="25"/>
        <v>4.451880474334502E-2</v>
      </c>
      <c r="AN22" s="52">
        <f t="shared" si="26"/>
        <v>1303575.6298673067</v>
      </c>
      <c r="AO22" s="135">
        <f t="shared" si="27"/>
        <v>0</v>
      </c>
      <c r="AP22" s="125" t="s">
        <v>8</v>
      </c>
      <c r="AQ22" s="133" t="s">
        <v>8</v>
      </c>
      <c r="AR22" s="136">
        <f t="shared" ref="AR22:AR29" si="138">(((H22+L22+Q22+W22+AC22+AI22+AO22)/G22)/$J$30)/I22</f>
        <v>0.3798876907578681</v>
      </c>
      <c r="AS22" s="134">
        <f t="shared" si="29"/>
        <v>4.451880474334502E-2</v>
      </c>
      <c r="AT22" s="52">
        <f t="shared" si="30"/>
        <v>1303575.6298673067</v>
      </c>
      <c r="AU22" s="135">
        <f t="shared" si="31"/>
        <v>0</v>
      </c>
      <c r="AV22" s="125" t="s">
        <v>8</v>
      </c>
      <c r="AW22" s="133" t="s">
        <v>8</v>
      </c>
      <c r="AX22" s="136">
        <f t="shared" ref="AX22:AX29" si="139">(((H22+L22+Q22+W22+AC22+AI22+AO22+AU22)/G22)/$J$30)/I22</f>
        <v>0.3798876907578681</v>
      </c>
      <c r="AY22" s="134">
        <f t="shared" si="33"/>
        <v>4.451880474334502E-2</v>
      </c>
      <c r="AZ22" s="52">
        <f t="shared" si="34"/>
        <v>1303575.6298673067</v>
      </c>
      <c r="BA22" s="135">
        <f t="shared" si="35"/>
        <v>0</v>
      </c>
      <c r="BB22" s="125" t="s">
        <v>8</v>
      </c>
      <c r="BC22" s="133" t="s">
        <v>8</v>
      </c>
      <c r="BD22" s="136">
        <f t="shared" ref="BD22:BD29" si="140">(((H22+L22+Q22+W22+AC22+AI22+AO22+AU22+BA22)/G22)/$J$30)/I22</f>
        <v>0.3798876907578681</v>
      </c>
      <c r="BE22" s="134">
        <f t="shared" si="37"/>
        <v>4.451880474334502E-2</v>
      </c>
      <c r="BF22" s="52">
        <f t="shared" si="38"/>
        <v>1303575.6298673067</v>
      </c>
      <c r="BG22" s="135">
        <f t="shared" si="39"/>
        <v>0</v>
      </c>
      <c r="BH22" s="125" t="s">
        <v>8</v>
      </c>
      <c r="BI22" s="133" t="s">
        <v>8</v>
      </c>
      <c r="BJ22" s="136">
        <f t="shared" ref="BJ22:BJ29" si="141">(((H22+L22+Q22+W22+AC22+AI22+AO22+AU22+BA22+BG22)/G22)/$J$30)/I22</f>
        <v>0.3798876907578681</v>
      </c>
      <c r="BK22" s="134">
        <f t="shared" si="41"/>
        <v>4.451880474334502E-2</v>
      </c>
      <c r="BL22" s="52">
        <f t="shared" si="42"/>
        <v>1303575.6298673067</v>
      </c>
      <c r="BM22" s="135">
        <f t="shared" si="43"/>
        <v>0</v>
      </c>
      <c r="BN22" s="125" t="s">
        <v>8</v>
      </c>
      <c r="BO22" s="133" t="s">
        <v>8</v>
      </c>
      <c r="BP22" s="136">
        <f t="shared" ref="BP22:BP29" si="142">(((H22+L22+Q22+W22+AC22+AI22+AO22+AU22+BA22+BG22+BM22)/G22)/$J$30)/I22</f>
        <v>0.3798876907578681</v>
      </c>
      <c r="BQ22" s="134">
        <f t="shared" si="45"/>
        <v>4.451880474334502E-2</v>
      </c>
      <c r="BR22" s="52">
        <f t="shared" si="46"/>
        <v>1303575.6298673067</v>
      </c>
      <c r="BS22" s="137">
        <f t="shared" si="47"/>
        <v>0</v>
      </c>
      <c r="BT22" s="125" t="s">
        <v>8</v>
      </c>
      <c r="BU22" s="133" t="s">
        <v>8</v>
      </c>
      <c r="BV22" s="136">
        <f t="shared" ref="BV22:BV29" si="143">(((H22+L22+Q22+W22+AC22+AI22+AO22+AU22+BA22+BG22+BM22+BS22)/G22)/$J$30)/I22</f>
        <v>0.3798876907578681</v>
      </c>
      <c r="BW22" s="134">
        <f t="shared" si="48"/>
        <v>4.451880474334502E-2</v>
      </c>
      <c r="BX22" s="52">
        <f t="shared" si="49"/>
        <v>1303575.6298673067</v>
      </c>
      <c r="BY22" s="137">
        <f t="shared" si="50"/>
        <v>0</v>
      </c>
      <c r="BZ22" s="125" t="s">
        <v>8</v>
      </c>
      <c r="CA22" s="133" t="s">
        <v>8</v>
      </c>
      <c r="CB22" s="136">
        <f t="shared" ref="CB22:CB29" si="144">(((H22+L22+Q22+W22+AC22+AI22+AO22+AU22+BA22+BG22+BM22+BS22+BY22)/G22)/$J$30)/I22</f>
        <v>0.3798876907578681</v>
      </c>
      <c r="CC22" s="134">
        <f t="shared" si="51"/>
        <v>4.451880474334502E-2</v>
      </c>
      <c r="CD22" s="52">
        <f t="shared" si="52"/>
        <v>1303575.6298673067</v>
      </c>
      <c r="CE22" s="137">
        <f t="shared" si="53"/>
        <v>0</v>
      </c>
      <c r="CF22" s="125" t="s">
        <v>8</v>
      </c>
      <c r="CG22" s="133" t="s">
        <v>8</v>
      </c>
      <c r="CH22" s="136">
        <f t="shared" ref="CH22:CH29" si="145">(((H22+L22+Q22+W22+AC22+AI22+AO22+AU22+BA22+BG22+BM22+BS22+BY22+CE22)/G22)/$J$30)/I22</f>
        <v>0.3798876907578681</v>
      </c>
      <c r="CI22" s="134">
        <f t="shared" si="55"/>
        <v>4.451880474334502E-2</v>
      </c>
      <c r="CJ22" s="52">
        <f t="shared" si="56"/>
        <v>1303575.6298673067</v>
      </c>
      <c r="CK22" s="137">
        <f t="shared" si="57"/>
        <v>0</v>
      </c>
      <c r="CL22" s="125" t="s">
        <v>8</v>
      </c>
      <c r="CM22" s="133" t="s">
        <v>8</v>
      </c>
      <c r="CN22" s="136">
        <f t="shared" ref="CN22:CN29" si="146">(((H22+L22+Q22+W22+AC22+AI22+AO22+AU22+BA22+BG22+BM22+BS22+BY22+CE22+CK22)/G22)/$J$30)/I22</f>
        <v>0.3798876907578681</v>
      </c>
      <c r="CO22" s="134">
        <f t="shared" si="58"/>
        <v>4.451880474334502E-2</v>
      </c>
      <c r="CP22" s="52">
        <f t="shared" si="59"/>
        <v>1303575.6298673067</v>
      </c>
      <c r="CQ22" s="137">
        <f t="shared" si="60"/>
        <v>0</v>
      </c>
      <c r="CR22" s="125" t="s">
        <v>8</v>
      </c>
      <c r="CS22" s="133" t="s">
        <v>8</v>
      </c>
      <c r="CT22" s="136">
        <f t="shared" ref="CT22:CT29" si="147">(((H22+L22+Q22+W22+AC22+AI22+AO22+AU22+BA22+BG22+BM22+BS22+BY22+CE22+CK22+CQ22)/G22)/$J$30)/I22</f>
        <v>0.3798876907578681</v>
      </c>
      <c r="CU22" s="134">
        <f t="shared" si="61"/>
        <v>4.451880474334502E-2</v>
      </c>
      <c r="CV22" s="52">
        <f t="shared" si="62"/>
        <v>1303575.6298673067</v>
      </c>
      <c r="CW22" s="137">
        <f t="shared" si="63"/>
        <v>0</v>
      </c>
      <c r="CX22" s="125" t="s">
        <v>8</v>
      </c>
      <c r="CY22" s="133" t="s">
        <v>8</v>
      </c>
      <c r="CZ22" s="136">
        <f t="shared" ref="CZ22:CZ29" si="148">(((H22+L22+Q22+W22+AC22+AI22+AO22+AU22+BA22+BG22+BM22+BS22+BY22+CE22+CK22+CQ22+CW22)/G22)/$J$30)/I22</f>
        <v>0.3798876907578681</v>
      </c>
      <c r="DA22" s="134">
        <f t="shared" si="64"/>
        <v>4.451880474334502E-2</v>
      </c>
      <c r="DB22" s="52">
        <f t="shared" si="65"/>
        <v>1303575.6298673067</v>
      </c>
      <c r="DC22" s="137">
        <f t="shared" si="66"/>
        <v>0</v>
      </c>
      <c r="DD22" s="125" t="s">
        <v>8</v>
      </c>
      <c r="DE22" s="133" t="s">
        <v>8</v>
      </c>
      <c r="DF22" s="136">
        <f t="shared" ref="DF22:DF29" si="149">(((H22+L22+Q22+W22+AC22+AI22+AO22+AU22+BA22+BG22+BM22+BS22+BY22+CE22+CK22+CQ22+CW22+DC22)/G22)/$J$30)/I22</f>
        <v>0.3798876907578681</v>
      </c>
      <c r="DG22" s="134">
        <f t="shared" si="67"/>
        <v>4.451880474334502E-2</v>
      </c>
      <c r="DH22" s="52">
        <f t="shared" si="68"/>
        <v>1303575.6298673067</v>
      </c>
      <c r="DI22" s="137">
        <f t="shared" si="69"/>
        <v>0</v>
      </c>
      <c r="DJ22" s="125" t="s">
        <v>8</v>
      </c>
      <c r="DK22" s="133" t="s">
        <v>8</v>
      </c>
      <c r="DL22" s="136">
        <f t="shared" ref="DL22:DL29" si="150">(((H22+L22+Q22+W22+AC22+AI22+AO22+AU22+BA22+BG22+BM22+BS22+BY22+CE22+CK22+CQ22+CW22+DC22+DI22)/G22)/$J$30)/I22</f>
        <v>0.3798876907578681</v>
      </c>
      <c r="DM22" s="134">
        <f t="shared" si="70"/>
        <v>4.451880474334502E-2</v>
      </c>
      <c r="DN22" s="52">
        <f t="shared" si="71"/>
        <v>1303575.6298673067</v>
      </c>
      <c r="DO22" s="137">
        <f t="shared" si="72"/>
        <v>0</v>
      </c>
      <c r="DP22" s="125" t="s">
        <v>8</v>
      </c>
      <c r="DQ22" s="133" t="s">
        <v>8</v>
      </c>
      <c r="DR22" s="136">
        <f t="shared" ref="DR22:DR29" si="151">(((H22+L22+Q22+W22+AC22+AI22+AO22+AU22+BA22+BG22+BM22+BS22+BY22+CE22+CK22+CQ22+CW22+DC22+DI22+DO22)/G22)/$J$30)/I22</f>
        <v>0.3798876907578681</v>
      </c>
      <c r="DS22" s="134">
        <f t="shared" si="73"/>
        <v>4.451880474334502E-2</v>
      </c>
      <c r="DT22" s="52">
        <f t="shared" si="74"/>
        <v>1303575.6298673067</v>
      </c>
      <c r="DU22" s="137">
        <f t="shared" si="75"/>
        <v>0</v>
      </c>
      <c r="DV22" s="125" t="s">
        <v>8</v>
      </c>
      <c r="DW22" s="133" t="s">
        <v>8</v>
      </c>
      <c r="DX22" s="35">
        <f t="shared" si="76"/>
        <v>0.3798876907578681</v>
      </c>
      <c r="DY22" s="134">
        <f t="shared" si="77"/>
        <v>4.451880474334502E-2</v>
      </c>
      <c r="DZ22" s="34">
        <f t="shared" si="78"/>
        <v>1303575.6298673067</v>
      </c>
      <c r="EA22" s="135">
        <f t="shared" si="79"/>
        <v>0</v>
      </c>
      <c r="EB22" s="125" t="s">
        <v>8</v>
      </c>
      <c r="EC22" s="133" t="s">
        <v>8</v>
      </c>
      <c r="ED22" s="35">
        <f t="shared" si="80"/>
        <v>0.3798876907578681</v>
      </c>
      <c r="EE22" s="134">
        <f t="shared" si="81"/>
        <v>4.451880474334502E-2</v>
      </c>
      <c r="EF22" s="34">
        <f t="shared" si="82"/>
        <v>1303575.6298673067</v>
      </c>
      <c r="EG22" s="135">
        <f t="shared" si="83"/>
        <v>0</v>
      </c>
      <c r="EH22" s="125" t="s">
        <v>8</v>
      </c>
      <c r="EI22" s="133" t="s">
        <v>8</v>
      </c>
      <c r="EJ22" s="35">
        <f t="shared" si="84"/>
        <v>0.3798876907578681</v>
      </c>
      <c r="EK22" s="134">
        <f t="shared" si="85"/>
        <v>4.451880474334502E-2</v>
      </c>
      <c r="EL22" s="34">
        <f t="shared" si="86"/>
        <v>1303575.6298673067</v>
      </c>
      <c r="EM22" s="135">
        <f t="shared" si="87"/>
        <v>0</v>
      </c>
      <c r="EN22" s="125" t="s">
        <v>8</v>
      </c>
      <c r="EO22" s="133" t="s">
        <v>8</v>
      </c>
      <c r="EP22" s="35">
        <f t="shared" si="88"/>
        <v>0.3798876907578681</v>
      </c>
      <c r="EQ22" s="134">
        <f t="shared" si="89"/>
        <v>4.451880474334502E-2</v>
      </c>
      <c r="ER22" s="34">
        <f t="shared" si="90"/>
        <v>1303575.6298673067</v>
      </c>
      <c r="ES22" s="135">
        <f t="shared" si="91"/>
        <v>0</v>
      </c>
      <c r="ET22" s="125" t="s">
        <v>8</v>
      </c>
      <c r="EU22" s="133" t="s">
        <v>8</v>
      </c>
      <c r="EV22" s="35">
        <f t="shared" si="92"/>
        <v>0.3798876907578681</v>
      </c>
      <c r="EW22" s="134">
        <f t="shared" si="93"/>
        <v>4.451880474334502E-2</v>
      </c>
      <c r="EX22" s="34">
        <f t="shared" si="94"/>
        <v>1303575.6298673067</v>
      </c>
      <c r="EY22" s="135">
        <f t="shared" si="95"/>
        <v>0</v>
      </c>
      <c r="EZ22" s="125" t="s">
        <v>8</v>
      </c>
      <c r="FA22" s="133" t="s">
        <v>8</v>
      </c>
      <c r="FB22" s="35">
        <f t="shared" si="96"/>
        <v>0.3798876907578681</v>
      </c>
      <c r="FC22" s="134">
        <f t="shared" si="97"/>
        <v>4.451880474334502E-2</v>
      </c>
      <c r="FD22" s="34">
        <f t="shared" si="98"/>
        <v>1303575.6298673067</v>
      </c>
      <c r="FE22" s="135">
        <f t="shared" si="99"/>
        <v>0</v>
      </c>
      <c r="FF22" s="125" t="s">
        <v>8</v>
      </c>
      <c r="FG22" s="133" t="s">
        <v>8</v>
      </c>
      <c r="FH22" s="35">
        <f t="shared" si="100"/>
        <v>0.3798876907578681</v>
      </c>
      <c r="FI22" s="134">
        <f t="shared" si="101"/>
        <v>4.451880474334502E-2</v>
      </c>
      <c r="FJ22" s="34">
        <f t="shared" si="102"/>
        <v>1303575.6298673067</v>
      </c>
      <c r="FK22" s="135">
        <f t="shared" si="103"/>
        <v>0</v>
      </c>
      <c r="FL22" s="125" t="s">
        <v>8</v>
      </c>
      <c r="FM22" s="133" t="s">
        <v>8</v>
      </c>
      <c r="FN22" s="35">
        <f t="shared" si="104"/>
        <v>0.3798876907578681</v>
      </c>
      <c r="FO22" s="134">
        <f t="shared" si="105"/>
        <v>4.451880474334502E-2</v>
      </c>
      <c r="FP22" s="34">
        <f t="shared" si="106"/>
        <v>1303575.6298673067</v>
      </c>
      <c r="FQ22" s="135">
        <f t="shared" si="107"/>
        <v>0</v>
      </c>
      <c r="FR22" s="125" t="s">
        <v>8</v>
      </c>
      <c r="FS22" s="133" t="s">
        <v>8</v>
      </c>
      <c r="FT22" s="35">
        <f t="shared" si="108"/>
        <v>0.3798876907578681</v>
      </c>
      <c r="FU22" s="134">
        <f t="shared" si="109"/>
        <v>4.451880474334502E-2</v>
      </c>
      <c r="FV22" s="34">
        <f t="shared" si="110"/>
        <v>1303575.6298673067</v>
      </c>
      <c r="FW22" s="135">
        <f t="shared" si="111"/>
        <v>0</v>
      </c>
      <c r="FX22" s="125" t="s">
        <v>8</v>
      </c>
      <c r="FY22" s="133" t="s">
        <v>8</v>
      </c>
      <c r="FZ22" s="35">
        <f t="shared" si="112"/>
        <v>0.3798876907578681</v>
      </c>
      <c r="GA22" s="134">
        <f t="shared" si="113"/>
        <v>4.451880474334502E-2</v>
      </c>
      <c r="GB22" s="34">
        <f t="shared" si="114"/>
        <v>1303575.6298673067</v>
      </c>
      <c r="GC22" s="135">
        <f t="shared" si="115"/>
        <v>0</v>
      </c>
      <c r="GD22" s="125" t="s">
        <v>8</v>
      </c>
      <c r="GE22" s="133" t="s">
        <v>8</v>
      </c>
      <c r="GF22" s="35">
        <f t="shared" si="116"/>
        <v>0.3798876907578681</v>
      </c>
      <c r="GG22" s="134">
        <f t="shared" si="117"/>
        <v>4.451880474334502E-2</v>
      </c>
      <c r="GH22" s="34">
        <f t="shared" si="118"/>
        <v>1303575.6298673067</v>
      </c>
      <c r="GI22" s="137">
        <f t="shared" si="119"/>
        <v>0</v>
      </c>
      <c r="GJ22" s="152">
        <f t="shared" si="133"/>
        <v>3688059.2246585907</v>
      </c>
      <c r="GK22" s="87">
        <f t="shared" si="120"/>
        <v>4060054.1444562715</v>
      </c>
      <c r="GL22" s="194">
        <f t="shared" si="121"/>
        <v>0.37988769075786816</v>
      </c>
      <c r="GM22" s="197"/>
      <c r="GN22" s="201">
        <v>4060054.14</v>
      </c>
      <c r="GO22" s="197"/>
      <c r="GP22" s="201">
        <v>3945724.4</v>
      </c>
      <c r="GQ22" s="197">
        <f t="shared" si="122"/>
        <v>114329.74445627164</v>
      </c>
      <c r="GR22" s="224">
        <f t="shared" si="123"/>
        <v>2.8975603176002664</v>
      </c>
    </row>
    <row r="23" spans="1:200" s="25" customFormat="1" x14ac:dyDescent="0.2">
      <c r="A23" s="171" t="s">
        <v>192</v>
      </c>
      <c r="B23" s="141" t="s">
        <v>8</v>
      </c>
      <c r="C23" s="141" t="s">
        <v>8</v>
      </c>
      <c r="D23" s="141" t="s">
        <v>8</v>
      </c>
      <c r="E23" s="141" t="s">
        <v>8</v>
      </c>
      <c r="F23" s="141" t="s">
        <v>8</v>
      </c>
      <c r="G23" s="126">
        <f>'Исходные данные'!C25</f>
        <v>1095</v>
      </c>
      <c r="H23" s="127">
        <f>'Исходные данные'!D25</f>
        <v>888034.07</v>
      </c>
      <c r="I23" s="128">
        <f>'Расчет КРП'!G21</f>
        <v>11.874342087037917</v>
      </c>
      <c r="J23" s="129" t="s">
        <v>8</v>
      </c>
      <c r="K23" s="130">
        <f t="shared" si="124"/>
        <v>4.5014511246056307E-2</v>
      </c>
      <c r="L23" s="131">
        <f t="shared" si="7"/>
        <v>859355.3526971736</v>
      </c>
      <c r="M23" s="132">
        <f t="shared" si="8"/>
        <v>8.857529623749881E-2</v>
      </c>
      <c r="N23" s="133" t="s">
        <v>8</v>
      </c>
      <c r="O23" s="134">
        <f t="shared" si="9"/>
        <v>8.3191634895077679E-2</v>
      </c>
      <c r="P23" s="34">
        <f t="shared" si="10"/>
        <v>2490092.7006694563</v>
      </c>
      <c r="Q23" s="135">
        <f t="shared" si="11"/>
        <v>2490092.7006694563</v>
      </c>
      <c r="R23" s="146" t="s">
        <v>8</v>
      </c>
      <c r="S23" s="133" t="s">
        <v>8</v>
      </c>
      <c r="T23" s="136">
        <f t="shared" si="134"/>
        <v>0.21479827536036961</v>
      </c>
      <c r="U23" s="134">
        <f t="shared" si="13"/>
        <v>6.0812433313699399E-2</v>
      </c>
      <c r="V23" s="52">
        <f t="shared" si="14"/>
        <v>2262081.7611630685</v>
      </c>
      <c r="W23" s="135">
        <f t="shared" si="15"/>
        <v>2262081.7611630685</v>
      </c>
      <c r="X23" s="125" t="s">
        <v>8</v>
      </c>
      <c r="Y23" s="133" t="s">
        <v>8</v>
      </c>
      <c r="Z23" s="136">
        <f t="shared" si="135"/>
        <v>0.32946336346602506</v>
      </c>
      <c r="AA23" s="134">
        <f t="shared" si="17"/>
        <v>4.8459517406048591E-2</v>
      </c>
      <c r="AB23" s="52">
        <f t="shared" si="18"/>
        <v>2208816.4042449421</v>
      </c>
      <c r="AC23" s="135">
        <f t="shared" si="19"/>
        <v>988393.69602787902</v>
      </c>
      <c r="AD23" s="125" t="s">
        <v>8</v>
      </c>
      <c r="AE23" s="133" t="s">
        <v>8</v>
      </c>
      <c r="AF23" s="136">
        <f t="shared" si="136"/>
        <v>0.37956511141515287</v>
      </c>
      <c r="AG23" s="134">
        <f t="shared" si="21"/>
        <v>4.4841384086060254E-2</v>
      </c>
      <c r="AH23" s="52">
        <f t="shared" si="22"/>
        <v>2191972.9881769954</v>
      </c>
      <c r="AI23" s="135">
        <f t="shared" si="23"/>
        <v>0</v>
      </c>
      <c r="AJ23" s="125" t="s">
        <v>8</v>
      </c>
      <c r="AK23" s="133" t="s">
        <v>8</v>
      </c>
      <c r="AL23" s="136">
        <f t="shared" si="137"/>
        <v>0.37956511141515287</v>
      </c>
      <c r="AM23" s="134">
        <f t="shared" si="25"/>
        <v>4.4841384086060254E-2</v>
      </c>
      <c r="AN23" s="52">
        <f t="shared" si="26"/>
        <v>2191972.9881769954</v>
      </c>
      <c r="AO23" s="135">
        <f t="shared" si="27"/>
        <v>0</v>
      </c>
      <c r="AP23" s="125" t="s">
        <v>8</v>
      </c>
      <c r="AQ23" s="133" t="s">
        <v>8</v>
      </c>
      <c r="AR23" s="136">
        <f t="shared" si="138"/>
        <v>0.37956511141515287</v>
      </c>
      <c r="AS23" s="134">
        <f t="shared" si="29"/>
        <v>4.4841384086060254E-2</v>
      </c>
      <c r="AT23" s="52">
        <f t="shared" si="30"/>
        <v>2191972.9881769954</v>
      </c>
      <c r="AU23" s="135">
        <f t="shared" si="31"/>
        <v>0</v>
      </c>
      <c r="AV23" s="125" t="s">
        <v>8</v>
      </c>
      <c r="AW23" s="133" t="s">
        <v>8</v>
      </c>
      <c r="AX23" s="136">
        <f t="shared" si="139"/>
        <v>0.37956511141515287</v>
      </c>
      <c r="AY23" s="134">
        <f t="shared" si="33"/>
        <v>4.4841384086060254E-2</v>
      </c>
      <c r="AZ23" s="52">
        <f t="shared" si="34"/>
        <v>2191972.9881769954</v>
      </c>
      <c r="BA23" s="135">
        <f t="shared" si="35"/>
        <v>0</v>
      </c>
      <c r="BB23" s="125" t="s">
        <v>8</v>
      </c>
      <c r="BC23" s="133" t="s">
        <v>8</v>
      </c>
      <c r="BD23" s="136">
        <f t="shared" si="140"/>
        <v>0.37956511141515287</v>
      </c>
      <c r="BE23" s="134">
        <f t="shared" si="37"/>
        <v>4.4841384086060254E-2</v>
      </c>
      <c r="BF23" s="52">
        <f t="shared" si="38"/>
        <v>2191972.9881769954</v>
      </c>
      <c r="BG23" s="135">
        <f t="shared" si="39"/>
        <v>0</v>
      </c>
      <c r="BH23" s="125" t="s">
        <v>8</v>
      </c>
      <c r="BI23" s="133" t="s">
        <v>8</v>
      </c>
      <c r="BJ23" s="136">
        <f t="shared" si="141"/>
        <v>0.37956511141515287</v>
      </c>
      <c r="BK23" s="134">
        <f t="shared" si="41"/>
        <v>4.4841384086060254E-2</v>
      </c>
      <c r="BL23" s="52">
        <f t="shared" si="42"/>
        <v>2191972.9881769954</v>
      </c>
      <c r="BM23" s="135">
        <f t="shared" si="43"/>
        <v>0</v>
      </c>
      <c r="BN23" s="125" t="s">
        <v>8</v>
      </c>
      <c r="BO23" s="133" t="s">
        <v>8</v>
      </c>
      <c r="BP23" s="136">
        <f t="shared" si="142"/>
        <v>0.37956511141515287</v>
      </c>
      <c r="BQ23" s="134">
        <f t="shared" si="45"/>
        <v>4.4841384086060254E-2</v>
      </c>
      <c r="BR23" s="52">
        <f t="shared" si="46"/>
        <v>2191972.9881769954</v>
      </c>
      <c r="BS23" s="137">
        <f t="shared" si="47"/>
        <v>0</v>
      </c>
      <c r="BT23" s="125" t="s">
        <v>8</v>
      </c>
      <c r="BU23" s="133" t="s">
        <v>8</v>
      </c>
      <c r="BV23" s="136">
        <f t="shared" si="143"/>
        <v>0.37956511141515287</v>
      </c>
      <c r="BW23" s="134">
        <f t="shared" si="48"/>
        <v>4.4841384086060254E-2</v>
      </c>
      <c r="BX23" s="52">
        <f t="shared" si="49"/>
        <v>2191972.9881769954</v>
      </c>
      <c r="BY23" s="137">
        <f t="shared" si="50"/>
        <v>0</v>
      </c>
      <c r="BZ23" s="125" t="s">
        <v>8</v>
      </c>
      <c r="CA23" s="133" t="s">
        <v>8</v>
      </c>
      <c r="CB23" s="136">
        <f t="shared" si="144"/>
        <v>0.37956511141515287</v>
      </c>
      <c r="CC23" s="134">
        <f t="shared" si="51"/>
        <v>4.4841384086060254E-2</v>
      </c>
      <c r="CD23" s="52">
        <f t="shared" si="52"/>
        <v>2191972.9881769954</v>
      </c>
      <c r="CE23" s="137">
        <f t="shared" si="53"/>
        <v>0</v>
      </c>
      <c r="CF23" s="125" t="s">
        <v>8</v>
      </c>
      <c r="CG23" s="133" t="s">
        <v>8</v>
      </c>
      <c r="CH23" s="136">
        <f t="shared" si="145"/>
        <v>0.37956511141515287</v>
      </c>
      <c r="CI23" s="134">
        <f t="shared" si="55"/>
        <v>4.4841384086060254E-2</v>
      </c>
      <c r="CJ23" s="52">
        <f t="shared" si="56"/>
        <v>2191972.9881769954</v>
      </c>
      <c r="CK23" s="137">
        <f t="shared" si="57"/>
        <v>0</v>
      </c>
      <c r="CL23" s="125" t="s">
        <v>8</v>
      </c>
      <c r="CM23" s="133" t="s">
        <v>8</v>
      </c>
      <c r="CN23" s="136">
        <f t="shared" si="146"/>
        <v>0.37956511141515287</v>
      </c>
      <c r="CO23" s="134">
        <f t="shared" si="58"/>
        <v>4.4841384086060254E-2</v>
      </c>
      <c r="CP23" s="52">
        <f t="shared" si="59"/>
        <v>2191972.9881769954</v>
      </c>
      <c r="CQ23" s="137">
        <f t="shared" si="60"/>
        <v>0</v>
      </c>
      <c r="CR23" s="125" t="s">
        <v>8</v>
      </c>
      <c r="CS23" s="133" t="s">
        <v>8</v>
      </c>
      <c r="CT23" s="136">
        <f t="shared" si="147"/>
        <v>0.37956511141515287</v>
      </c>
      <c r="CU23" s="134">
        <f t="shared" si="61"/>
        <v>4.4841384086060254E-2</v>
      </c>
      <c r="CV23" s="52">
        <f t="shared" si="62"/>
        <v>2191972.9881769954</v>
      </c>
      <c r="CW23" s="137">
        <f t="shared" si="63"/>
        <v>0</v>
      </c>
      <c r="CX23" s="125" t="s">
        <v>8</v>
      </c>
      <c r="CY23" s="133" t="s">
        <v>8</v>
      </c>
      <c r="CZ23" s="136">
        <f t="shared" si="148"/>
        <v>0.37956511141515287</v>
      </c>
      <c r="DA23" s="134">
        <f t="shared" si="64"/>
        <v>4.4841384086060254E-2</v>
      </c>
      <c r="DB23" s="52">
        <f t="shared" si="65"/>
        <v>2191972.9881769954</v>
      </c>
      <c r="DC23" s="137">
        <f t="shared" si="66"/>
        <v>0</v>
      </c>
      <c r="DD23" s="125" t="s">
        <v>8</v>
      </c>
      <c r="DE23" s="133" t="s">
        <v>8</v>
      </c>
      <c r="DF23" s="136">
        <f t="shared" si="149"/>
        <v>0.37956511141515287</v>
      </c>
      <c r="DG23" s="134">
        <f t="shared" si="67"/>
        <v>4.4841384086060254E-2</v>
      </c>
      <c r="DH23" s="52">
        <f t="shared" si="68"/>
        <v>2191972.9881769954</v>
      </c>
      <c r="DI23" s="137">
        <f t="shared" si="69"/>
        <v>0</v>
      </c>
      <c r="DJ23" s="125" t="s">
        <v>8</v>
      </c>
      <c r="DK23" s="133" t="s">
        <v>8</v>
      </c>
      <c r="DL23" s="136">
        <f t="shared" si="150"/>
        <v>0.37956511141515287</v>
      </c>
      <c r="DM23" s="134">
        <f t="shared" si="70"/>
        <v>4.4841384086060254E-2</v>
      </c>
      <c r="DN23" s="52">
        <f t="shared" si="71"/>
        <v>2191972.9881769954</v>
      </c>
      <c r="DO23" s="137">
        <f t="shared" si="72"/>
        <v>0</v>
      </c>
      <c r="DP23" s="125" t="s">
        <v>8</v>
      </c>
      <c r="DQ23" s="133" t="s">
        <v>8</v>
      </c>
      <c r="DR23" s="136">
        <f t="shared" si="151"/>
        <v>0.37956511141515287</v>
      </c>
      <c r="DS23" s="134">
        <f t="shared" si="73"/>
        <v>4.4841384086060254E-2</v>
      </c>
      <c r="DT23" s="52">
        <f t="shared" si="74"/>
        <v>2191972.9881769954</v>
      </c>
      <c r="DU23" s="137">
        <f t="shared" si="75"/>
        <v>0</v>
      </c>
      <c r="DV23" s="125" t="s">
        <v>8</v>
      </c>
      <c r="DW23" s="133" t="s">
        <v>8</v>
      </c>
      <c r="DX23" s="35">
        <f t="shared" si="76"/>
        <v>0.37956511141515287</v>
      </c>
      <c r="DY23" s="134">
        <f t="shared" si="77"/>
        <v>4.4841384086060254E-2</v>
      </c>
      <c r="DZ23" s="34">
        <f t="shared" si="78"/>
        <v>2191972.9881769954</v>
      </c>
      <c r="EA23" s="135">
        <f t="shared" si="79"/>
        <v>0</v>
      </c>
      <c r="EB23" s="125" t="s">
        <v>8</v>
      </c>
      <c r="EC23" s="133" t="s">
        <v>8</v>
      </c>
      <c r="ED23" s="35">
        <f t="shared" si="80"/>
        <v>0.37956511141515287</v>
      </c>
      <c r="EE23" s="134">
        <f t="shared" si="81"/>
        <v>4.4841384086060254E-2</v>
      </c>
      <c r="EF23" s="34">
        <f t="shared" si="82"/>
        <v>2191972.9881769954</v>
      </c>
      <c r="EG23" s="135">
        <f t="shared" si="83"/>
        <v>0</v>
      </c>
      <c r="EH23" s="125" t="s">
        <v>8</v>
      </c>
      <c r="EI23" s="133" t="s">
        <v>8</v>
      </c>
      <c r="EJ23" s="35">
        <f t="shared" si="84"/>
        <v>0.37956511141515287</v>
      </c>
      <c r="EK23" s="134">
        <f t="shared" si="85"/>
        <v>4.4841384086060254E-2</v>
      </c>
      <c r="EL23" s="34">
        <f t="shared" si="86"/>
        <v>2191972.9881769954</v>
      </c>
      <c r="EM23" s="135">
        <f t="shared" si="87"/>
        <v>0</v>
      </c>
      <c r="EN23" s="125" t="s">
        <v>8</v>
      </c>
      <c r="EO23" s="133" t="s">
        <v>8</v>
      </c>
      <c r="EP23" s="35">
        <f t="shared" si="88"/>
        <v>0.37956511141515287</v>
      </c>
      <c r="EQ23" s="134">
        <f t="shared" si="89"/>
        <v>4.4841384086060254E-2</v>
      </c>
      <c r="ER23" s="34">
        <f t="shared" si="90"/>
        <v>2191972.9881769954</v>
      </c>
      <c r="ES23" s="135">
        <f t="shared" si="91"/>
        <v>0</v>
      </c>
      <c r="ET23" s="125" t="s">
        <v>8</v>
      </c>
      <c r="EU23" s="133" t="s">
        <v>8</v>
      </c>
      <c r="EV23" s="35">
        <f t="shared" si="92"/>
        <v>0.37956511141515287</v>
      </c>
      <c r="EW23" s="134">
        <f t="shared" si="93"/>
        <v>4.4841384086060254E-2</v>
      </c>
      <c r="EX23" s="34">
        <f t="shared" si="94"/>
        <v>2191972.9881769954</v>
      </c>
      <c r="EY23" s="135">
        <f t="shared" si="95"/>
        <v>0</v>
      </c>
      <c r="EZ23" s="125" t="s">
        <v>8</v>
      </c>
      <c r="FA23" s="133" t="s">
        <v>8</v>
      </c>
      <c r="FB23" s="35">
        <f t="shared" si="96"/>
        <v>0.37956511141515287</v>
      </c>
      <c r="FC23" s="134">
        <f t="shared" si="97"/>
        <v>4.4841384086060254E-2</v>
      </c>
      <c r="FD23" s="34">
        <f t="shared" si="98"/>
        <v>2191972.9881769954</v>
      </c>
      <c r="FE23" s="135">
        <f t="shared" si="99"/>
        <v>0</v>
      </c>
      <c r="FF23" s="125" t="s">
        <v>8</v>
      </c>
      <c r="FG23" s="133" t="s">
        <v>8</v>
      </c>
      <c r="FH23" s="35">
        <f t="shared" si="100"/>
        <v>0.37956511141515287</v>
      </c>
      <c r="FI23" s="134">
        <f t="shared" si="101"/>
        <v>4.4841384086060254E-2</v>
      </c>
      <c r="FJ23" s="34">
        <f t="shared" si="102"/>
        <v>2191972.9881769954</v>
      </c>
      <c r="FK23" s="135">
        <f t="shared" si="103"/>
        <v>0</v>
      </c>
      <c r="FL23" s="125" t="s">
        <v>8</v>
      </c>
      <c r="FM23" s="133" t="s">
        <v>8</v>
      </c>
      <c r="FN23" s="35">
        <f t="shared" si="104"/>
        <v>0.37956511141515287</v>
      </c>
      <c r="FO23" s="134">
        <f t="shared" si="105"/>
        <v>4.4841384086060254E-2</v>
      </c>
      <c r="FP23" s="34">
        <f t="shared" si="106"/>
        <v>2191972.9881769954</v>
      </c>
      <c r="FQ23" s="135">
        <f t="shared" si="107"/>
        <v>0</v>
      </c>
      <c r="FR23" s="125" t="s">
        <v>8</v>
      </c>
      <c r="FS23" s="133" t="s">
        <v>8</v>
      </c>
      <c r="FT23" s="35">
        <f t="shared" si="108"/>
        <v>0.37956511141515287</v>
      </c>
      <c r="FU23" s="134">
        <f t="shared" si="109"/>
        <v>4.4841384086060254E-2</v>
      </c>
      <c r="FV23" s="34">
        <f t="shared" si="110"/>
        <v>2191972.9881769954</v>
      </c>
      <c r="FW23" s="135">
        <f t="shared" si="111"/>
        <v>0</v>
      </c>
      <c r="FX23" s="125" t="s">
        <v>8</v>
      </c>
      <c r="FY23" s="133" t="s">
        <v>8</v>
      </c>
      <c r="FZ23" s="35">
        <f t="shared" si="112"/>
        <v>0.37956511141515287</v>
      </c>
      <c r="GA23" s="134">
        <f t="shared" si="113"/>
        <v>4.4841384086060254E-2</v>
      </c>
      <c r="GB23" s="34">
        <f t="shared" si="114"/>
        <v>2191972.9881769954</v>
      </c>
      <c r="GC23" s="135">
        <f t="shared" si="115"/>
        <v>0</v>
      </c>
      <c r="GD23" s="125" t="s">
        <v>8</v>
      </c>
      <c r="GE23" s="133" t="s">
        <v>8</v>
      </c>
      <c r="GF23" s="35">
        <f t="shared" si="116"/>
        <v>0.37956511141515287</v>
      </c>
      <c r="GG23" s="134">
        <f t="shared" si="117"/>
        <v>4.4841384086060254E-2</v>
      </c>
      <c r="GH23" s="34">
        <f t="shared" si="118"/>
        <v>2191972.9881769954</v>
      </c>
      <c r="GI23" s="137">
        <f t="shared" si="119"/>
        <v>0</v>
      </c>
      <c r="GJ23" s="152">
        <f t="shared" si="133"/>
        <v>5740568.1578604039</v>
      </c>
      <c r="GK23" s="87">
        <f t="shared" si="120"/>
        <v>6599923.510557577</v>
      </c>
      <c r="GL23" s="194">
        <f t="shared" si="121"/>
        <v>0.37956511141515287</v>
      </c>
      <c r="GM23" s="197"/>
      <c r="GN23" s="201">
        <v>6599923.5099999998</v>
      </c>
      <c r="GO23" s="197"/>
      <c r="GP23" s="201">
        <v>6065428.5199999996</v>
      </c>
      <c r="GQ23" s="197">
        <f t="shared" si="122"/>
        <v>534494.99055757746</v>
      </c>
      <c r="GR23" s="224">
        <f t="shared" si="123"/>
        <v>8.8121554609892172</v>
      </c>
    </row>
    <row r="24" spans="1:200" s="25" customFormat="1" x14ac:dyDescent="0.2">
      <c r="A24" s="171" t="s">
        <v>193</v>
      </c>
      <c r="B24" s="141" t="s">
        <v>8</v>
      </c>
      <c r="C24" s="141" t="s">
        <v>8</v>
      </c>
      <c r="D24" s="141" t="s">
        <v>8</v>
      </c>
      <c r="E24" s="141" t="s">
        <v>8</v>
      </c>
      <c r="F24" s="141" t="s">
        <v>8</v>
      </c>
      <c r="G24" s="126">
        <f>'Исходные данные'!C26</f>
        <v>485</v>
      </c>
      <c r="H24" s="127">
        <f>'Исходные данные'!D26</f>
        <v>369476.71</v>
      </c>
      <c r="I24" s="128">
        <f>'Расчет КРП'!G22</f>
        <v>12</v>
      </c>
      <c r="J24" s="129" t="s">
        <v>8</v>
      </c>
      <c r="K24" s="130">
        <f t="shared" si="124"/>
        <v>4.1841829903409254E-2</v>
      </c>
      <c r="L24" s="131">
        <f t="shared" si="7"/>
        <v>380627.71329509513</v>
      </c>
      <c r="M24" s="132">
        <f t="shared" si="8"/>
        <v>8.4946468450767199E-2</v>
      </c>
      <c r="N24" s="133" t="s">
        <v>8</v>
      </c>
      <c r="O24" s="134">
        <f t="shared" si="9"/>
        <v>8.6820462681809291E-2</v>
      </c>
      <c r="P24" s="34">
        <f t="shared" si="10"/>
        <v>1163207.6804904223</v>
      </c>
      <c r="Q24" s="135">
        <f t="shared" si="11"/>
        <v>1163207.6804904223</v>
      </c>
      <c r="R24" s="146" t="s">
        <v>8</v>
      </c>
      <c r="S24" s="133" t="s">
        <v>8</v>
      </c>
      <c r="T24" s="136">
        <f t="shared" si="134"/>
        <v>0.21667530708154167</v>
      </c>
      <c r="U24" s="134">
        <f t="shared" si="13"/>
        <v>5.8935401592527331E-2</v>
      </c>
      <c r="V24" s="52">
        <f t="shared" si="14"/>
        <v>981276.66896049923</v>
      </c>
      <c r="W24" s="135">
        <f t="shared" si="15"/>
        <v>981276.66896049923</v>
      </c>
      <c r="X24" s="125" t="s">
        <v>8</v>
      </c>
      <c r="Y24" s="133" t="s">
        <v>8</v>
      </c>
      <c r="Z24" s="136">
        <f t="shared" si="135"/>
        <v>0.3278011517141553</v>
      </c>
      <c r="AA24" s="134">
        <f t="shared" si="17"/>
        <v>5.0121729157918349E-2</v>
      </c>
      <c r="AB24" s="52">
        <f t="shared" si="18"/>
        <v>1022600.2362734553</v>
      </c>
      <c r="AC24" s="135">
        <f t="shared" si="19"/>
        <v>457589.69606838346</v>
      </c>
      <c r="AD24" s="125" t="s">
        <v>8</v>
      </c>
      <c r="AE24" s="133" t="s">
        <v>8</v>
      </c>
      <c r="AF24" s="136">
        <f t="shared" si="136"/>
        <v>0.37962144162754669</v>
      </c>
      <c r="AG24" s="134">
        <f t="shared" si="21"/>
        <v>4.4785053873666436E-2</v>
      </c>
      <c r="AH24" s="52">
        <f t="shared" si="22"/>
        <v>979915.4361381809</v>
      </c>
      <c r="AI24" s="135">
        <f t="shared" si="23"/>
        <v>0</v>
      </c>
      <c r="AJ24" s="125" t="s">
        <v>8</v>
      </c>
      <c r="AK24" s="133" t="s">
        <v>8</v>
      </c>
      <c r="AL24" s="136">
        <f t="shared" si="137"/>
        <v>0.37962144162754669</v>
      </c>
      <c r="AM24" s="134">
        <f t="shared" si="25"/>
        <v>4.4785053873666436E-2</v>
      </c>
      <c r="AN24" s="52">
        <f t="shared" si="26"/>
        <v>979915.4361381809</v>
      </c>
      <c r="AO24" s="135">
        <f t="shared" si="27"/>
        <v>0</v>
      </c>
      <c r="AP24" s="125" t="s">
        <v>8</v>
      </c>
      <c r="AQ24" s="133" t="s">
        <v>8</v>
      </c>
      <c r="AR24" s="136">
        <f t="shared" si="138"/>
        <v>0.37962144162754669</v>
      </c>
      <c r="AS24" s="134">
        <f t="shared" si="29"/>
        <v>4.4785053873666436E-2</v>
      </c>
      <c r="AT24" s="52">
        <f t="shared" si="30"/>
        <v>979915.4361381809</v>
      </c>
      <c r="AU24" s="135">
        <f t="shared" si="31"/>
        <v>0</v>
      </c>
      <c r="AV24" s="125" t="s">
        <v>8</v>
      </c>
      <c r="AW24" s="133" t="s">
        <v>8</v>
      </c>
      <c r="AX24" s="136">
        <f t="shared" si="139"/>
        <v>0.37962144162754669</v>
      </c>
      <c r="AY24" s="134">
        <f t="shared" si="33"/>
        <v>4.4785053873666436E-2</v>
      </c>
      <c r="AZ24" s="52">
        <f t="shared" si="34"/>
        <v>979915.4361381809</v>
      </c>
      <c r="BA24" s="135">
        <f t="shared" si="35"/>
        <v>0</v>
      </c>
      <c r="BB24" s="125" t="s">
        <v>8</v>
      </c>
      <c r="BC24" s="133" t="s">
        <v>8</v>
      </c>
      <c r="BD24" s="136">
        <f t="shared" si="140"/>
        <v>0.37962144162754669</v>
      </c>
      <c r="BE24" s="134">
        <f t="shared" si="37"/>
        <v>4.4785053873666436E-2</v>
      </c>
      <c r="BF24" s="52">
        <f t="shared" si="38"/>
        <v>979915.4361381809</v>
      </c>
      <c r="BG24" s="135">
        <f t="shared" si="39"/>
        <v>0</v>
      </c>
      <c r="BH24" s="125" t="s">
        <v>8</v>
      </c>
      <c r="BI24" s="133" t="s">
        <v>8</v>
      </c>
      <c r="BJ24" s="136">
        <f t="shared" si="141"/>
        <v>0.37962144162754669</v>
      </c>
      <c r="BK24" s="134">
        <f t="shared" si="41"/>
        <v>4.4785053873666436E-2</v>
      </c>
      <c r="BL24" s="52">
        <f t="shared" si="42"/>
        <v>979915.4361381809</v>
      </c>
      <c r="BM24" s="135">
        <f t="shared" si="43"/>
        <v>0</v>
      </c>
      <c r="BN24" s="125" t="s">
        <v>8</v>
      </c>
      <c r="BO24" s="133" t="s">
        <v>8</v>
      </c>
      <c r="BP24" s="136">
        <f t="shared" si="142"/>
        <v>0.37962144162754669</v>
      </c>
      <c r="BQ24" s="134">
        <f t="shared" si="45"/>
        <v>4.4785053873666436E-2</v>
      </c>
      <c r="BR24" s="52">
        <f t="shared" si="46"/>
        <v>979915.4361381809</v>
      </c>
      <c r="BS24" s="137">
        <f t="shared" si="47"/>
        <v>0</v>
      </c>
      <c r="BT24" s="125" t="s">
        <v>8</v>
      </c>
      <c r="BU24" s="133" t="s">
        <v>8</v>
      </c>
      <c r="BV24" s="136">
        <f t="shared" si="143"/>
        <v>0.37962144162754669</v>
      </c>
      <c r="BW24" s="134">
        <f t="shared" si="48"/>
        <v>4.4785053873666436E-2</v>
      </c>
      <c r="BX24" s="52">
        <f t="shared" si="49"/>
        <v>979915.4361381809</v>
      </c>
      <c r="BY24" s="137">
        <f t="shared" si="50"/>
        <v>0</v>
      </c>
      <c r="BZ24" s="125" t="s">
        <v>8</v>
      </c>
      <c r="CA24" s="133" t="s">
        <v>8</v>
      </c>
      <c r="CB24" s="136">
        <f t="shared" si="144"/>
        <v>0.37962144162754669</v>
      </c>
      <c r="CC24" s="134">
        <f t="shared" si="51"/>
        <v>4.4785053873666436E-2</v>
      </c>
      <c r="CD24" s="52">
        <f t="shared" si="52"/>
        <v>979915.4361381809</v>
      </c>
      <c r="CE24" s="137">
        <f t="shared" si="53"/>
        <v>0</v>
      </c>
      <c r="CF24" s="125" t="s">
        <v>8</v>
      </c>
      <c r="CG24" s="133" t="s">
        <v>8</v>
      </c>
      <c r="CH24" s="136">
        <f t="shared" si="145"/>
        <v>0.37962144162754669</v>
      </c>
      <c r="CI24" s="134">
        <f t="shared" si="55"/>
        <v>4.4785053873666436E-2</v>
      </c>
      <c r="CJ24" s="52">
        <f t="shared" si="56"/>
        <v>979915.4361381809</v>
      </c>
      <c r="CK24" s="137">
        <f t="shared" si="57"/>
        <v>0</v>
      </c>
      <c r="CL24" s="125" t="s">
        <v>8</v>
      </c>
      <c r="CM24" s="133" t="s">
        <v>8</v>
      </c>
      <c r="CN24" s="136">
        <f t="shared" si="146"/>
        <v>0.37962144162754669</v>
      </c>
      <c r="CO24" s="134">
        <f t="shared" si="58"/>
        <v>4.4785053873666436E-2</v>
      </c>
      <c r="CP24" s="52">
        <f t="shared" si="59"/>
        <v>979915.4361381809</v>
      </c>
      <c r="CQ24" s="137">
        <f t="shared" si="60"/>
        <v>0</v>
      </c>
      <c r="CR24" s="125" t="s">
        <v>8</v>
      </c>
      <c r="CS24" s="133" t="s">
        <v>8</v>
      </c>
      <c r="CT24" s="136">
        <f t="shared" si="147"/>
        <v>0.37962144162754669</v>
      </c>
      <c r="CU24" s="134">
        <f t="shared" si="61"/>
        <v>4.4785053873666436E-2</v>
      </c>
      <c r="CV24" s="52">
        <f t="shared" si="62"/>
        <v>979915.4361381809</v>
      </c>
      <c r="CW24" s="137">
        <f t="shared" si="63"/>
        <v>0</v>
      </c>
      <c r="CX24" s="125" t="s">
        <v>8</v>
      </c>
      <c r="CY24" s="133" t="s">
        <v>8</v>
      </c>
      <c r="CZ24" s="136">
        <f t="shared" si="148"/>
        <v>0.37962144162754669</v>
      </c>
      <c r="DA24" s="134">
        <f t="shared" si="64"/>
        <v>4.4785053873666436E-2</v>
      </c>
      <c r="DB24" s="52">
        <f t="shared" si="65"/>
        <v>979915.4361381809</v>
      </c>
      <c r="DC24" s="137">
        <f t="shared" si="66"/>
        <v>0</v>
      </c>
      <c r="DD24" s="125" t="s">
        <v>8</v>
      </c>
      <c r="DE24" s="133" t="s">
        <v>8</v>
      </c>
      <c r="DF24" s="136">
        <f t="shared" si="149"/>
        <v>0.37962144162754669</v>
      </c>
      <c r="DG24" s="134">
        <f t="shared" si="67"/>
        <v>4.4785053873666436E-2</v>
      </c>
      <c r="DH24" s="52">
        <f t="shared" si="68"/>
        <v>979915.4361381809</v>
      </c>
      <c r="DI24" s="137">
        <f t="shared" si="69"/>
        <v>0</v>
      </c>
      <c r="DJ24" s="125" t="s">
        <v>8</v>
      </c>
      <c r="DK24" s="133" t="s">
        <v>8</v>
      </c>
      <c r="DL24" s="136">
        <f t="shared" si="150"/>
        <v>0.37962144162754669</v>
      </c>
      <c r="DM24" s="134">
        <f t="shared" si="70"/>
        <v>4.4785053873666436E-2</v>
      </c>
      <c r="DN24" s="52">
        <f t="shared" si="71"/>
        <v>979915.4361381809</v>
      </c>
      <c r="DO24" s="137">
        <f t="shared" si="72"/>
        <v>0</v>
      </c>
      <c r="DP24" s="125" t="s">
        <v>8</v>
      </c>
      <c r="DQ24" s="133" t="s">
        <v>8</v>
      </c>
      <c r="DR24" s="136">
        <f t="shared" si="151"/>
        <v>0.37962144162754669</v>
      </c>
      <c r="DS24" s="134">
        <f t="shared" si="73"/>
        <v>4.4785053873666436E-2</v>
      </c>
      <c r="DT24" s="52">
        <f t="shared" si="74"/>
        <v>979915.4361381809</v>
      </c>
      <c r="DU24" s="137">
        <f t="shared" si="75"/>
        <v>0</v>
      </c>
      <c r="DV24" s="125" t="s">
        <v>8</v>
      </c>
      <c r="DW24" s="133" t="s">
        <v>8</v>
      </c>
      <c r="DX24" s="35">
        <f t="shared" si="76"/>
        <v>0.37962144162754669</v>
      </c>
      <c r="DY24" s="134">
        <f t="shared" si="77"/>
        <v>4.4785053873666436E-2</v>
      </c>
      <c r="DZ24" s="34">
        <f t="shared" si="78"/>
        <v>979915.4361381809</v>
      </c>
      <c r="EA24" s="135">
        <f t="shared" si="79"/>
        <v>0</v>
      </c>
      <c r="EB24" s="125" t="s">
        <v>8</v>
      </c>
      <c r="EC24" s="133" t="s">
        <v>8</v>
      </c>
      <c r="ED24" s="35">
        <f t="shared" si="80"/>
        <v>0.37962144162754669</v>
      </c>
      <c r="EE24" s="134">
        <f t="shared" si="81"/>
        <v>4.4785053873666436E-2</v>
      </c>
      <c r="EF24" s="34">
        <f t="shared" si="82"/>
        <v>979915.4361381809</v>
      </c>
      <c r="EG24" s="135">
        <f t="shared" si="83"/>
        <v>0</v>
      </c>
      <c r="EH24" s="125" t="s">
        <v>8</v>
      </c>
      <c r="EI24" s="133" t="s">
        <v>8</v>
      </c>
      <c r="EJ24" s="35">
        <f t="shared" si="84"/>
        <v>0.37962144162754669</v>
      </c>
      <c r="EK24" s="134">
        <f t="shared" si="85"/>
        <v>4.4785053873666436E-2</v>
      </c>
      <c r="EL24" s="34">
        <f t="shared" si="86"/>
        <v>979915.4361381809</v>
      </c>
      <c r="EM24" s="135">
        <f t="shared" si="87"/>
        <v>0</v>
      </c>
      <c r="EN24" s="125" t="s">
        <v>8</v>
      </c>
      <c r="EO24" s="133" t="s">
        <v>8</v>
      </c>
      <c r="EP24" s="35">
        <f t="shared" si="88"/>
        <v>0.37962144162754669</v>
      </c>
      <c r="EQ24" s="134">
        <f t="shared" si="89"/>
        <v>4.4785053873666436E-2</v>
      </c>
      <c r="ER24" s="34">
        <f t="shared" si="90"/>
        <v>979915.4361381809</v>
      </c>
      <c r="ES24" s="135">
        <f t="shared" si="91"/>
        <v>0</v>
      </c>
      <c r="ET24" s="125" t="s">
        <v>8</v>
      </c>
      <c r="EU24" s="133" t="s">
        <v>8</v>
      </c>
      <c r="EV24" s="35">
        <f t="shared" si="92"/>
        <v>0.37962144162754669</v>
      </c>
      <c r="EW24" s="134">
        <f t="shared" si="93"/>
        <v>4.4785053873666436E-2</v>
      </c>
      <c r="EX24" s="34">
        <f t="shared" si="94"/>
        <v>979915.4361381809</v>
      </c>
      <c r="EY24" s="135">
        <f t="shared" si="95"/>
        <v>0</v>
      </c>
      <c r="EZ24" s="125" t="s">
        <v>8</v>
      </c>
      <c r="FA24" s="133" t="s">
        <v>8</v>
      </c>
      <c r="FB24" s="35">
        <f t="shared" si="96"/>
        <v>0.37962144162754669</v>
      </c>
      <c r="FC24" s="134">
        <f t="shared" si="97"/>
        <v>4.4785053873666436E-2</v>
      </c>
      <c r="FD24" s="34">
        <f t="shared" si="98"/>
        <v>979915.4361381809</v>
      </c>
      <c r="FE24" s="135">
        <f t="shared" si="99"/>
        <v>0</v>
      </c>
      <c r="FF24" s="125" t="s">
        <v>8</v>
      </c>
      <c r="FG24" s="133" t="s">
        <v>8</v>
      </c>
      <c r="FH24" s="35">
        <f t="shared" si="100"/>
        <v>0.37962144162754669</v>
      </c>
      <c r="FI24" s="134">
        <f t="shared" si="101"/>
        <v>4.4785053873666436E-2</v>
      </c>
      <c r="FJ24" s="34">
        <f t="shared" si="102"/>
        <v>979915.4361381809</v>
      </c>
      <c r="FK24" s="135">
        <f t="shared" si="103"/>
        <v>0</v>
      </c>
      <c r="FL24" s="125" t="s">
        <v>8</v>
      </c>
      <c r="FM24" s="133" t="s">
        <v>8</v>
      </c>
      <c r="FN24" s="35">
        <f t="shared" si="104"/>
        <v>0.37962144162754669</v>
      </c>
      <c r="FO24" s="134">
        <f t="shared" si="105"/>
        <v>4.4785053873666436E-2</v>
      </c>
      <c r="FP24" s="34">
        <f t="shared" si="106"/>
        <v>979915.4361381809</v>
      </c>
      <c r="FQ24" s="135">
        <f t="shared" si="107"/>
        <v>0</v>
      </c>
      <c r="FR24" s="125" t="s">
        <v>8</v>
      </c>
      <c r="FS24" s="133" t="s">
        <v>8</v>
      </c>
      <c r="FT24" s="35">
        <f t="shared" si="108"/>
        <v>0.37962144162754669</v>
      </c>
      <c r="FU24" s="134">
        <f t="shared" si="109"/>
        <v>4.4785053873666436E-2</v>
      </c>
      <c r="FV24" s="34">
        <f t="shared" si="110"/>
        <v>979915.4361381809</v>
      </c>
      <c r="FW24" s="135">
        <f t="shared" si="111"/>
        <v>0</v>
      </c>
      <c r="FX24" s="125" t="s">
        <v>8</v>
      </c>
      <c r="FY24" s="133" t="s">
        <v>8</v>
      </c>
      <c r="FZ24" s="35">
        <f t="shared" si="112"/>
        <v>0.37962144162754669</v>
      </c>
      <c r="GA24" s="134">
        <f t="shared" si="113"/>
        <v>4.4785053873666436E-2</v>
      </c>
      <c r="GB24" s="34">
        <f t="shared" si="114"/>
        <v>979915.4361381809</v>
      </c>
      <c r="GC24" s="135">
        <f t="shared" si="115"/>
        <v>0</v>
      </c>
      <c r="GD24" s="125" t="s">
        <v>8</v>
      </c>
      <c r="GE24" s="133" t="s">
        <v>8</v>
      </c>
      <c r="GF24" s="35">
        <f t="shared" si="116"/>
        <v>0.37962144162754669</v>
      </c>
      <c r="GG24" s="134">
        <f t="shared" si="117"/>
        <v>4.4785053873666436E-2</v>
      </c>
      <c r="GH24" s="34">
        <f t="shared" si="118"/>
        <v>979915.4361381809</v>
      </c>
      <c r="GI24" s="137">
        <f t="shared" si="119"/>
        <v>0</v>
      </c>
      <c r="GJ24" s="152">
        <f t="shared" si="133"/>
        <v>2602074.0455193049</v>
      </c>
      <c r="GK24" s="87">
        <f t="shared" si="120"/>
        <v>2982701.7588144001</v>
      </c>
      <c r="GL24" s="194">
        <f t="shared" si="121"/>
        <v>0.37962144162754663</v>
      </c>
      <c r="GM24" s="197"/>
      <c r="GN24" s="201">
        <v>2982701.76</v>
      </c>
      <c r="GO24" s="197"/>
      <c r="GP24" s="201">
        <v>3158787.32</v>
      </c>
      <c r="GQ24" s="197">
        <f t="shared" si="122"/>
        <v>-176085.56118559977</v>
      </c>
      <c r="GR24" s="224">
        <f t="shared" si="123"/>
        <v>-5.5744671403074904</v>
      </c>
    </row>
    <row r="25" spans="1:200" s="25" customFormat="1" x14ac:dyDescent="0.2">
      <c r="A25" s="171" t="s">
        <v>194</v>
      </c>
      <c r="B25" s="141" t="s">
        <v>8</v>
      </c>
      <c r="C25" s="141" t="s">
        <v>8</v>
      </c>
      <c r="D25" s="141" t="s">
        <v>8</v>
      </c>
      <c r="E25" s="141" t="s">
        <v>8</v>
      </c>
      <c r="F25" s="141" t="s">
        <v>8</v>
      </c>
      <c r="G25" s="126">
        <f>'Исходные данные'!C27</f>
        <v>115</v>
      </c>
      <c r="H25" s="127">
        <f>'Исходные данные'!D27</f>
        <v>54228.49</v>
      </c>
      <c r="I25" s="128">
        <f>'Расчет КРП'!G23</f>
        <v>12.727922061357855</v>
      </c>
      <c r="J25" s="129" t="s">
        <v>8</v>
      </c>
      <c r="K25" s="130">
        <f t="shared" si="124"/>
        <v>2.4418486969634518E-2</v>
      </c>
      <c r="L25" s="131">
        <f t="shared" si="7"/>
        <v>90251.932018424617</v>
      </c>
      <c r="M25" s="132">
        <f t="shared" si="8"/>
        <v>6.5057929926210317E-2</v>
      </c>
      <c r="N25" s="133" t="s">
        <v>8</v>
      </c>
      <c r="O25" s="134">
        <f t="shared" si="9"/>
        <v>0.10670900120636617</v>
      </c>
      <c r="P25" s="34">
        <f t="shared" si="10"/>
        <v>359557.69121356099</v>
      </c>
      <c r="Q25" s="135">
        <f t="shared" si="11"/>
        <v>359557.69121356099</v>
      </c>
      <c r="R25" s="146" t="s">
        <v>8</v>
      </c>
      <c r="S25" s="133" t="s">
        <v>8</v>
      </c>
      <c r="T25" s="136">
        <f t="shared" si="134"/>
        <v>0.22696276625357648</v>
      </c>
      <c r="U25" s="134">
        <f t="shared" si="13"/>
        <v>4.8647942420492529E-2</v>
      </c>
      <c r="V25" s="52">
        <f t="shared" si="14"/>
        <v>203709.86700132189</v>
      </c>
      <c r="W25" s="135">
        <f t="shared" si="15"/>
        <v>203709.86700132189</v>
      </c>
      <c r="X25" s="125" t="s">
        <v>8</v>
      </c>
      <c r="Y25" s="133" t="s">
        <v>8</v>
      </c>
      <c r="Z25" s="136">
        <f t="shared" si="135"/>
        <v>0.31869105765460493</v>
      </c>
      <c r="AA25" s="134">
        <f t="shared" si="17"/>
        <v>5.9231823217468726E-2</v>
      </c>
      <c r="AB25" s="52">
        <f t="shared" si="18"/>
        <v>303925.61712882447</v>
      </c>
      <c r="AC25" s="135">
        <f t="shared" si="19"/>
        <v>135999.60750662771</v>
      </c>
      <c r="AD25" s="125" t="s">
        <v>8</v>
      </c>
      <c r="AE25" s="133" t="s">
        <v>8</v>
      </c>
      <c r="AF25" s="136">
        <f t="shared" si="136"/>
        <v>0.37993017096526499</v>
      </c>
      <c r="AG25" s="134">
        <f t="shared" si="21"/>
        <v>4.4476324535948131E-2</v>
      </c>
      <c r="AH25" s="52">
        <f t="shared" si="22"/>
        <v>244746.6474266685</v>
      </c>
      <c r="AI25" s="135">
        <f t="shared" si="23"/>
        <v>0</v>
      </c>
      <c r="AJ25" s="125" t="s">
        <v>8</v>
      </c>
      <c r="AK25" s="133" t="s">
        <v>8</v>
      </c>
      <c r="AL25" s="136">
        <f t="shared" si="137"/>
        <v>0.37993017096526499</v>
      </c>
      <c r="AM25" s="134">
        <f t="shared" si="25"/>
        <v>4.4476324535948131E-2</v>
      </c>
      <c r="AN25" s="52">
        <f t="shared" si="26"/>
        <v>244746.6474266685</v>
      </c>
      <c r="AO25" s="135">
        <f t="shared" si="27"/>
        <v>0</v>
      </c>
      <c r="AP25" s="125" t="s">
        <v>8</v>
      </c>
      <c r="AQ25" s="133" t="s">
        <v>8</v>
      </c>
      <c r="AR25" s="136">
        <f t="shared" si="138"/>
        <v>0.37993017096526499</v>
      </c>
      <c r="AS25" s="134">
        <f t="shared" si="29"/>
        <v>4.4476324535948131E-2</v>
      </c>
      <c r="AT25" s="52">
        <f t="shared" si="30"/>
        <v>244746.6474266685</v>
      </c>
      <c r="AU25" s="135">
        <f t="shared" si="31"/>
        <v>0</v>
      </c>
      <c r="AV25" s="125" t="s">
        <v>8</v>
      </c>
      <c r="AW25" s="133" t="s">
        <v>8</v>
      </c>
      <c r="AX25" s="136">
        <f t="shared" si="139"/>
        <v>0.37993017096526499</v>
      </c>
      <c r="AY25" s="134">
        <f t="shared" si="33"/>
        <v>4.4476324535948131E-2</v>
      </c>
      <c r="AZ25" s="52">
        <f t="shared" si="34"/>
        <v>244746.6474266685</v>
      </c>
      <c r="BA25" s="135">
        <f t="shared" si="35"/>
        <v>0</v>
      </c>
      <c r="BB25" s="125" t="s">
        <v>8</v>
      </c>
      <c r="BC25" s="133" t="s">
        <v>8</v>
      </c>
      <c r="BD25" s="136">
        <f t="shared" si="140"/>
        <v>0.37993017096526499</v>
      </c>
      <c r="BE25" s="134">
        <f t="shared" si="37"/>
        <v>4.4476324535948131E-2</v>
      </c>
      <c r="BF25" s="52">
        <f t="shared" si="38"/>
        <v>244746.6474266685</v>
      </c>
      <c r="BG25" s="135">
        <f t="shared" si="39"/>
        <v>0</v>
      </c>
      <c r="BH25" s="125" t="s">
        <v>8</v>
      </c>
      <c r="BI25" s="133" t="s">
        <v>8</v>
      </c>
      <c r="BJ25" s="136">
        <f t="shared" si="141"/>
        <v>0.37993017096526499</v>
      </c>
      <c r="BK25" s="134">
        <f t="shared" si="41"/>
        <v>4.4476324535948131E-2</v>
      </c>
      <c r="BL25" s="52">
        <f t="shared" si="42"/>
        <v>244746.6474266685</v>
      </c>
      <c r="BM25" s="135">
        <f t="shared" si="43"/>
        <v>0</v>
      </c>
      <c r="BN25" s="125" t="s">
        <v>8</v>
      </c>
      <c r="BO25" s="133" t="s">
        <v>8</v>
      </c>
      <c r="BP25" s="136">
        <f t="shared" si="142"/>
        <v>0.37993017096526499</v>
      </c>
      <c r="BQ25" s="134">
        <f t="shared" si="45"/>
        <v>4.4476324535948131E-2</v>
      </c>
      <c r="BR25" s="52">
        <f t="shared" si="46"/>
        <v>244746.6474266685</v>
      </c>
      <c r="BS25" s="137">
        <f t="shared" si="47"/>
        <v>0</v>
      </c>
      <c r="BT25" s="125" t="s">
        <v>8</v>
      </c>
      <c r="BU25" s="133" t="s">
        <v>8</v>
      </c>
      <c r="BV25" s="136">
        <f t="shared" si="143"/>
        <v>0.37993017096526499</v>
      </c>
      <c r="BW25" s="134">
        <f t="shared" si="48"/>
        <v>4.4476324535948131E-2</v>
      </c>
      <c r="BX25" s="52">
        <f t="shared" si="49"/>
        <v>244746.6474266685</v>
      </c>
      <c r="BY25" s="137">
        <f t="shared" si="50"/>
        <v>0</v>
      </c>
      <c r="BZ25" s="125" t="s">
        <v>8</v>
      </c>
      <c r="CA25" s="133" t="s">
        <v>8</v>
      </c>
      <c r="CB25" s="136">
        <f t="shared" si="144"/>
        <v>0.37993017096526499</v>
      </c>
      <c r="CC25" s="134">
        <f t="shared" si="51"/>
        <v>4.4476324535948131E-2</v>
      </c>
      <c r="CD25" s="52">
        <f t="shared" si="52"/>
        <v>244746.6474266685</v>
      </c>
      <c r="CE25" s="137">
        <f t="shared" si="53"/>
        <v>0</v>
      </c>
      <c r="CF25" s="125" t="s">
        <v>8</v>
      </c>
      <c r="CG25" s="133" t="s">
        <v>8</v>
      </c>
      <c r="CH25" s="136">
        <f t="shared" si="145"/>
        <v>0.37993017096526499</v>
      </c>
      <c r="CI25" s="134">
        <f t="shared" si="55"/>
        <v>4.4476324535948131E-2</v>
      </c>
      <c r="CJ25" s="52">
        <f t="shared" si="56"/>
        <v>244746.6474266685</v>
      </c>
      <c r="CK25" s="137">
        <f t="shared" si="57"/>
        <v>0</v>
      </c>
      <c r="CL25" s="125" t="s">
        <v>8</v>
      </c>
      <c r="CM25" s="133" t="s">
        <v>8</v>
      </c>
      <c r="CN25" s="136">
        <f t="shared" si="146"/>
        <v>0.37993017096526499</v>
      </c>
      <c r="CO25" s="134">
        <f t="shared" si="58"/>
        <v>4.4476324535948131E-2</v>
      </c>
      <c r="CP25" s="52">
        <f t="shared" si="59"/>
        <v>244746.6474266685</v>
      </c>
      <c r="CQ25" s="137">
        <f t="shared" si="60"/>
        <v>0</v>
      </c>
      <c r="CR25" s="125" t="s">
        <v>8</v>
      </c>
      <c r="CS25" s="133" t="s">
        <v>8</v>
      </c>
      <c r="CT25" s="136">
        <f t="shared" si="147"/>
        <v>0.37993017096526499</v>
      </c>
      <c r="CU25" s="134">
        <f t="shared" si="61"/>
        <v>4.4476324535948131E-2</v>
      </c>
      <c r="CV25" s="52">
        <f t="shared" si="62"/>
        <v>244746.6474266685</v>
      </c>
      <c r="CW25" s="137">
        <f t="shared" si="63"/>
        <v>0</v>
      </c>
      <c r="CX25" s="125" t="s">
        <v>8</v>
      </c>
      <c r="CY25" s="133" t="s">
        <v>8</v>
      </c>
      <c r="CZ25" s="136">
        <f t="shared" si="148"/>
        <v>0.37993017096526499</v>
      </c>
      <c r="DA25" s="134">
        <f t="shared" si="64"/>
        <v>4.4476324535948131E-2</v>
      </c>
      <c r="DB25" s="52">
        <f t="shared" si="65"/>
        <v>244746.6474266685</v>
      </c>
      <c r="DC25" s="137">
        <f t="shared" si="66"/>
        <v>0</v>
      </c>
      <c r="DD25" s="125" t="s">
        <v>8</v>
      </c>
      <c r="DE25" s="133" t="s">
        <v>8</v>
      </c>
      <c r="DF25" s="136">
        <f t="shared" si="149"/>
        <v>0.37993017096526499</v>
      </c>
      <c r="DG25" s="134">
        <f t="shared" si="67"/>
        <v>4.4476324535948131E-2</v>
      </c>
      <c r="DH25" s="52">
        <f t="shared" si="68"/>
        <v>244746.6474266685</v>
      </c>
      <c r="DI25" s="137">
        <f t="shared" si="69"/>
        <v>0</v>
      </c>
      <c r="DJ25" s="125" t="s">
        <v>8</v>
      </c>
      <c r="DK25" s="133" t="s">
        <v>8</v>
      </c>
      <c r="DL25" s="136">
        <f t="shared" si="150"/>
        <v>0.37993017096526499</v>
      </c>
      <c r="DM25" s="134">
        <f t="shared" si="70"/>
        <v>4.4476324535948131E-2</v>
      </c>
      <c r="DN25" s="52">
        <f t="shared" si="71"/>
        <v>244746.6474266685</v>
      </c>
      <c r="DO25" s="137">
        <f t="shared" si="72"/>
        <v>0</v>
      </c>
      <c r="DP25" s="125" t="s">
        <v>8</v>
      </c>
      <c r="DQ25" s="133" t="s">
        <v>8</v>
      </c>
      <c r="DR25" s="136">
        <f t="shared" si="151"/>
        <v>0.37993017096526499</v>
      </c>
      <c r="DS25" s="134">
        <f t="shared" si="73"/>
        <v>4.4476324535948131E-2</v>
      </c>
      <c r="DT25" s="52">
        <f t="shared" si="74"/>
        <v>244746.6474266685</v>
      </c>
      <c r="DU25" s="137">
        <f t="shared" si="75"/>
        <v>0</v>
      </c>
      <c r="DV25" s="125" t="s">
        <v>8</v>
      </c>
      <c r="DW25" s="133" t="s">
        <v>8</v>
      </c>
      <c r="DX25" s="35">
        <f t="shared" si="76"/>
        <v>0.37993017096526499</v>
      </c>
      <c r="DY25" s="134">
        <f t="shared" si="77"/>
        <v>4.4476324535948131E-2</v>
      </c>
      <c r="DZ25" s="34">
        <f t="shared" si="78"/>
        <v>244746.6474266685</v>
      </c>
      <c r="EA25" s="135">
        <f t="shared" si="79"/>
        <v>0</v>
      </c>
      <c r="EB25" s="125" t="s">
        <v>8</v>
      </c>
      <c r="EC25" s="133" t="s">
        <v>8</v>
      </c>
      <c r="ED25" s="35">
        <f t="shared" si="80"/>
        <v>0.37993017096526499</v>
      </c>
      <c r="EE25" s="134">
        <f t="shared" si="81"/>
        <v>4.4476324535948131E-2</v>
      </c>
      <c r="EF25" s="34">
        <f t="shared" si="82"/>
        <v>244746.6474266685</v>
      </c>
      <c r="EG25" s="135">
        <f t="shared" si="83"/>
        <v>0</v>
      </c>
      <c r="EH25" s="125" t="s">
        <v>8</v>
      </c>
      <c r="EI25" s="133" t="s">
        <v>8</v>
      </c>
      <c r="EJ25" s="35">
        <f t="shared" si="84"/>
        <v>0.37993017096526499</v>
      </c>
      <c r="EK25" s="134">
        <f t="shared" si="85"/>
        <v>4.4476324535948131E-2</v>
      </c>
      <c r="EL25" s="34">
        <f t="shared" si="86"/>
        <v>244746.6474266685</v>
      </c>
      <c r="EM25" s="135">
        <f t="shared" si="87"/>
        <v>0</v>
      </c>
      <c r="EN25" s="125" t="s">
        <v>8</v>
      </c>
      <c r="EO25" s="133" t="s">
        <v>8</v>
      </c>
      <c r="EP25" s="35">
        <f t="shared" si="88"/>
        <v>0.37993017096526499</v>
      </c>
      <c r="EQ25" s="134">
        <f t="shared" si="89"/>
        <v>4.4476324535948131E-2</v>
      </c>
      <c r="ER25" s="34">
        <f t="shared" si="90"/>
        <v>244746.6474266685</v>
      </c>
      <c r="ES25" s="135">
        <f t="shared" si="91"/>
        <v>0</v>
      </c>
      <c r="ET25" s="125" t="s">
        <v>8</v>
      </c>
      <c r="EU25" s="133" t="s">
        <v>8</v>
      </c>
      <c r="EV25" s="35">
        <f t="shared" si="92"/>
        <v>0.37993017096526499</v>
      </c>
      <c r="EW25" s="134">
        <f t="shared" si="93"/>
        <v>4.4476324535948131E-2</v>
      </c>
      <c r="EX25" s="34">
        <f t="shared" si="94"/>
        <v>244746.6474266685</v>
      </c>
      <c r="EY25" s="135">
        <f t="shared" si="95"/>
        <v>0</v>
      </c>
      <c r="EZ25" s="125" t="s">
        <v>8</v>
      </c>
      <c r="FA25" s="133" t="s">
        <v>8</v>
      </c>
      <c r="FB25" s="35">
        <f t="shared" si="96"/>
        <v>0.37993017096526499</v>
      </c>
      <c r="FC25" s="134">
        <f t="shared" si="97"/>
        <v>4.4476324535948131E-2</v>
      </c>
      <c r="FD25" s="34">
        <f t="shared" si="98"/>
        <v>244746.6474266685</v>
      </c>
      <c r="FE25" s="135">
        <f t="shared" si="99"/>
        <v>0</v>
      </c>
      <c r="FF25" s="125" t="s">
        <v>8</v>
      </c>
      <c r="FG25" s="133" t="s">
        <v>8</v>
      </c>
      <c r="FH25" s="35">
        <f t="shared" si="100"/>
        <v>0.37993017096526499</v>
      </c>
      <c r="FI25" s="134">
        <f t="shared" si="101"/>
        <v>4.4476324535948131E-2</v>
      </c>
      <c r="FJ25" s="34">
        <f t="shared" si="102"/>
        <v>244746.6474266685</v>
      </c>
      <c r="FK25" s="135">
        <f t="shared" si="103"/>
        <v>0</v>
      </c>
      <c r="FL25" s="125" t="s">
        <v>8</v>
      </c>
      <c r="FM25" s="133" t="s">
        <v>8</v>
      </c>
      <c r="FN25" s="35">
        <f t="shared" si="104"/>
        <v>0.37993017096526499</v>
      </c>
      <c r="FO25" s="134">
        <f t="shared" si="105"/>
        <v>4.4476324535948131E-2</v>
      </c>
      <c r="FP25" s="34">
        <f t="shared" si="106"/>
        <v>244746.6474266685</v>
      </c>
      <c r="FQ25" s="135">
        <f t="shared" si="107"/>
        <v>0</v>
      </c>
      <c r="FR25" s="125" t="s">
        <v>8</v>
      </c>
      <c r="FS25" s="133" t="s">
        <v>8</v>
      </c>
      <c r="FT25" s="35">
        <f t="shared" si="108"/>
        <v>0.37993017096526499</v>
      </c>
      <c r="FU25" s="134">
        <f t="shared" si="109"/>
        <v>4.4476324535948131E-2</v>
      </c>
      <c r="FV25" s="34">
        <f t="shared" si="110"/>
        <v>244746.6474266685</v>
      </c>
      <c r="FW25" s="135">
        <f t="shared" si="111"/>
        <v>0</v>
      </c>
      <c r="FX25" s="125" t="s">
        <v>8</v>
      </c>
      <c r="FY25" s="133" t="s">
        <v>8</v>
      </c>
      <c r="FZ25" s="35">
        <f t="shared" si="112"/>
        <v>0.37993017096526499</v>
      </c>
      <c r="GA25" s="134">
        <f t="shared" si="113"/>
        <v>4.4476324535948131E-2</v>
      </c>
      <c r="GB25" s="34">
        <f t="shared" si="114"/>
        <v>244746.6474266685</v>
      </c>
      <c r="GC25" s="135">
        <f t="shared" si="115"/>
        <v>0</v>
      </c>
      <c r="GD25" s="125" t="s">
        <v>8</v>
      </c>
      <c r="GE25" s="133" t="s">
        <v>8</v>
      </c>
      <c r="GF25" s="35">
        <f t="shared" si="116"/>
        <v>0.37993017096526499</v>
      </c>
      <c r="GG25" s="134">
        <f t="shared" si="117"/>
        <v>4.4476324535948131E-2</v>
      </c>
      <c r="GH25" s="34">
        <f t="shared" si="118"/>
        <v>244746.6474266685</v>
      </c>
      <c r="GI25" s="137">
        <f t="shared" si="119"/>
        <v>0</v>
      </c>
      <c r="GJ25" s="152">
        <f t="shared" si="133"/>
        <v>699267.16572151054</v>
      </c>
      <c r="GK25" s="87">
        <f t="shared" si="120"/>
        <v>789519.09773993515</v>
      </c>
      <c r="GL25" s="194">
        <f t="shared" si="121"/>
        <v>0.37993017096526494</v>
      </c>
      <c r="GM25" s="197"/>
      <c r="GN25" s="201">
        <v>789519.098</v>
      </c>
      <c r="GO25" s="197"/>
      <c r="GP25" s="201">
        <v>809640.55</v>
      </c>
      <c r="GQ25" s="197">
        <f t="shared" si="122"/>
        <v>-20121.452260064892</v>
      </c>
      <c r="GR25" s="224">
        <f t="shared" si="123"/>
        <v>-2.4852327690436056</v>
      </c>
    </row>
    <row r="26" spans="1:200" s="25" customFormat="1" x14ac:dyDescent="0.2">
      <c r="A26" s="171" t="s">
        <v>195</v>
      </c>
      <c r="B26" s="141" t="s">
        <v>8</v>
      </c>
      <c r="C26" s="141" t="s">
        <v>8</v>
      </c>
      <c r="D26" s="141" t="s">
        <v>8</v>
      </c>
      <c r="E26" s="141" t="s">
        <v>8</v>
      </c>
      <c r="F26" s="141" t="s">
        <v>8</v>
      </c>
      <c r="G26" s="126">
        <f>'Исходные данные'!C28</f>
        <v>140</v>
      </c>
      <c r="H26" s="127">
        <f>'Исходные данные'!D28</f>
        <v>103132.49</v>
      </c>
      <c r="I26" s="128">
        <f>'Расчет КРП'!G24</f>
        <v>20.346989949375804</v>
      </c>
      <c r="J26" s="129" t="s">
        <v>8</v>
      </c>
      <c r="K26" s="130">
        <f t="shared" si="124"/>
        <v>2.386238693341771E-2</v>
      </c>
      <c r="L26" s="131">
        <f t="shared" si="7"/>
        <v>109871.91723982128</v>
      </c>
      <c r="M26" s="132">
        <f t="shared" si="8"/>
        <v>4.9284115840506668E-2</v>
      </c>
      <c r="N26" s="133" t="s">
        <v>8</v>
      </c>
      <c r="O26" s="134">
        <f t="shared" si="9"/>
        <v>0.12248281529206982</v>
      </c>
      <c r="P26" s="34">
        <f t="shared" si="10"/>
        <v>803184.92187934346</v>
      </c>
      <c r="Q26" s="135">
        <f t="shared" si="11"/>
        <v>803184.92187934346</v>
      </c>
      <c r="R26" s="146" t="s">
        <v>8</v>
      </c>
      <c r="S26" s="133" t="s">
        <v>8</v>
      </c>
      <c r="T26" s="136">
        <f t="shared" si="134"/>
        <v>0.23512186090970616</v>
      </c>
      <c r="U26" s="134">
        <f t="shared" si="13"/>
        <v>4.0488847764362845E-2</v>
      </c>
      <c r="V26" s="52">
        <f t="shared" si="14"/>
        <v>329955.87474189332</v>
      </c>
      <c r="W26" s="135">
        <f t="shared" si="15"/>
        <v>329955.87474189332</v>
      </c>
      <c r="X26" s="125" t="s">
        <v>8</v>
      </c>
      <c r="Y26" s="133" t="s">
        <v>8</v>
      </c>
      <c r="Z26" s="136">
        <f t="shared" si="135"/>
        <v>0.31146574394836224</v>
      </c>
      <c r="AA26" s="134">
        <f t="shared" si="17"/>
        <v>6.6457136923711413E-2</v>
      </c>
      <c r="AB26" s="52">
        <f t="shared" si="18"/>
        <v>663631.04174055555</v>
      </c>
      <c r="AC26" s="135">
        <f t="shared" si="19"/>
        <v>296959.37466065714</v>
      </c>
      <c r="AD26" s="125" t="s">
        <v>8</v>
      </c>
      <c r="AE26" s="133" t="s">
        <v>8</v>
      </c>
      <c r="AF26" s="136">
        <f t="shared" si="136"/>
        <v>0.38017502752774979</v>
      </c>
      <c r="AG26" s="134">
        <f t="shared" si="21"/>
        <v>4.4231467973463334E-2</v>
      </c>
      <c r="AH26" s="52">
        <f t="shared" si="22"/>
        <v>473687.66177203157</v>
      </c>
      <c r="AI26" s="135">
        <f t="shared" si="23"/>
        <v>0</v>
      </c>
      <c r="AJ26" s="125" t="s">
        <v>8</v>
      </c>
      <c r="AK26" s="133" t="s">
        <v>8</v>
      </c>
      <c r="AL26" s="136">
        <f t="shared" si="137"/>
        <v>0.38017502752774979</v>
      </c>
      <c r="AM26" s="134">
        <f t="shared" si="25"/>
        <v>4.4231467973463334E-2</v>
      </c>
      <c r="AN26" s="52">
        <f t="shared" si="26"/>
        <v>473687.66177203157</v>
      </c>
      <c r="AO26" s="135">
        <f t="shared" si="27"/>
        <v>0</v>
      </c>
      <c r="AP26" s="125" t="s">
        <v>8</v>
      </c>
      <c r="AQ26" s="133" t="s">
        <v>8</v>
      </c>
      <c r="AR26" s="136">
        <f t="shared" si="138"/>
        <v>0.38017502752774979</v>
      </c>
      <c r="AS26" s="134">
        <f t="shared" si="29"/>
        <v>4.4231467973463334E-2</v>
      </c>
      <c r="AT26" s="52">
        <f t="shared" si="30"/>
        <v>473687.66177203157</v>
      </c>
      <c r="AU26" s="135">
        <f t="shared" si="31"/>
        <v>0</v>
      </c>
      <c r="AV26" s="125" t="s">
        <v>8</v>
      </c>
      <c r="AW26" s="133" t="s">
        <v>8</v>
      </c>
      <c r="AX26" s="136">
        <f t="shared" si="139"/>
        <v>0.38017502752774979</v>
      </c>
      <c r="AY26" s="134">
        <f t="shared" si="33"/>
        <v>4.4231467973463334E-2</v>
      </c>
      <c r="AZ26" s="52">
        <f t="shared" si="34"/>
        <v>473687.66177203157</v>
      </c>
      <c r="BA26" s="135">
        <f t="shared" si="35"/>
        <v>0</v>
      </c>
      <c r="BB26" s="125" t="s">
        <v>8</v>
      </c>
      <c r="BC26" s="133" t="s">
        <v>8</v>
      </c>
      <c r="BD26" s="136">
        <f t="shared" si="140"/>
        <v>0.38017502752774979</v>
      </c>
      <c r="BE26" s="134">
        <f t="shared" si="37"/>
        <v>4.4231467973463334E-2</v>
      </c>
      <c r="BF26" s="52">
        <f t="shared" si="38"/>
        <v>473687.66177203157</v>
      </c>
      <c r="BG26" s="135">
        <f t="shared" si="39"/>
        <v>0</v>
      </c>
      <c r="BH26" s="125" t="s">
        <v>8</v>
      </c>
      <c r="BI26" s="133" t="s">
        <v>8</v>
      </c>
      <c r="BJ26" s="136">
        <f t="shared" si="141"/>
        <v>0.38017502752774979</v>
      </c>
      <c r="BK26" s="134">
        <f t="shared" si="41"/>
        <v>4.4231467973463334E-2</v>
      </c>
      <c r="BL26" s="52">
        <f t="shared" si="42"/>
        <v>473687.66177203157</v>
      </c>
      <c r="BM26" s="135">
        <f t="shared" si="43"/>
        <v>0</v>
      </c>
      <c r="BN26" s="125" t="s">
        <v>8</v>
      </c>
      <c r="BO26" s="133" t="s">
        <v>8</v>
      </c>
      <c r="BP26" s="136">
        <f t="shared" si="142"/>
        <v>0.38017502752774979</v>
      </c>
      <c r="BQ26" s="134">
        <f t="shared" si="45"/>
        <v>4.4231467973463334E-2</v>
      </c>
      <c r="BR26" s="52">
        <f t="shared" si="46"/>
        <v>473687.66177203157</v>
      </c>
      <c r="BS26" s="137">
        <f t="shared" si="47"/>
        <v>0</v>
      </c>
      <c r="BT26" s="125" t="s">
        <v>8</v>
      </c>
      <c r="BU26" s="133" t="s">
        <v>8</v>
      </c>
      <c r="BV26" s="136">
        <f t="shared" si="143"/>
        <v>0.38017502752774979</v>
      </c>
      <c r="BW26" s="134">
        <f t="shared" si="48"/>
        <v>4.4231467973463334E-2</v>
      </c>
      <c r="BX26" s="52">
        <f t="shared" si="49"/>
        <v>473687.66177203157</v>
      </c>
      <c r="BY26" s="137">
        <f t="shared" si="50"/>
        <v>0</v>
      </c>
      <c r="BZ26" s="125" t="s">
        <v>8</v>
      </c>
      <c r="CA26" s="133" t="s">
        <v>8</v>
      </c>
      <c r="CB26" s="136">
        <f t="shared" si="144"/>
        <v>0.38017502752774979</v>
      </c>
      <c r="CC26" s="134">
        <f t="shared" si="51"/>
        <v>4.4231467973463334E-2</v>
      </c>
      <c r="CD26" s="52">
        <f t="shared" si="52"/>
        <v>473687.66177203157</v>
      </c>
      <c r="CE26" s="137">
        <f t="shared" si="53"/>
        <v>0</v>
      </c>
      <c r="CF26" s="125" t="s">
        <v>8</v>
      </c>
      <c r="CG26" s="133" t="s">
        <v>8</v>
      </c>
      <c r="CH26" s="136">
        <f t="shared" si="145"/>
        <v>0.38017502752774979</v>
      </c>
      <c r="CI26" s="134">
        <f t="shared" si="55"/>
        <v>4.4231467973463334E-2</v>
      </c>
      <c r="CJ26" s="52">
        <f t="shared" si="56"/>
        <v>473687.66177203157</v>
      </c>
      <c r="CK26" s="137">
        <f t="shared" si="57"/>
        <v>0</v>
      </c>
      <c r="CL26" s="125" t="s">
        <v>8</v>
      </c>
      <c r="CM26" s="133" t="s">
        <v>8</v>
      </c>
      <c r="CN26" s="136">
        <f t="shared" si="146"/>
        <v>0.38017502752774979</v>
      </c>
      <c r="CO26" s="134">
        <f t="shared" si="58"/>
        <v>4.4231467973463334E-2</v>
      </c>
      <c r="CP26" s="52">
        <f t="shared" si="59"/>
        <v>473687.66177203157</v>
      </c>
      <c r="CQ26" s="137">
        <f t="shared" si="60"/>
        <v>0</v>
      </c>
      <c r="CR26" s="125" t="s">
        <v>8</v>
      </c>
      <c r="CS26" s="133" t="s">
        <v>8</v>
      </c>
      <c r="CT26" s="136">
        <f t="shared" si="147"/>
        <v>0.38017502752774979</v>
      </c>
      <c r="CU26" s="134">
        <f t="shared" si="61"/>
        <v>4.4231467973463334E-2</v>
      </c>
      <c r="CV26" s="52">
        <f t="shared" si="62"/>
        <v>473687.66177203157</v>
      </c>
      <c r="CW26" s="137">
        <f t="shared" si="63"/>
        <v>0</v>
      </c>
      <c r="CX26" s="125" t="s">
        <v>8</v>
      </c>
      <c r="CY26" s="133" t="s">
        <v>8</v>
      </c>
      <c r="CZ26" s="136">
        <f t="shared" si="148"/>
        <v>0.38017502752774979</v>
      </c>
      <c r="DA26" s="134">
        <f t="shared" si="64"/>
        <v>4.4231467973463334E-2</v>
      </c>
      <c r="DB26" s="52">
        <f t="shared" si="65"/>
        <v>473687.66177203157</v>
      </c>
      <c r="DC26" s="137">
        <f t="shared" si="66"/>
        <v>0</v>
      </c>
      <c r="DD26" s="125" t="s">
        <v>8</v>
      </c>
      <c r="DE26" s="133" t="s">
        <v>8</v>
      </c>
      <c r="DF26" s="136">
        <f t="shared" si="149"/>
        <v>0.38017502752774979</v>
      </c>
      <c r="DG26" s="134">
        <f t="shared" si="67"/>
        <v>4.4231467973463334E-2</v>
      </c>
      <c r="DH26" s="52">
        <f t="shared" si="68"/>
        <v>473687.66177203157</v>
      </c>
      <c r="DI26" s="137">
        <f t="shared" si="69"/>
        <v>0</v>
      </c>
      <c r="DJ26" s="125" t="s">
        <v>8</v>
      </c>
      <c r="DK26" s="133" t="s">
        <v>8</v>
      </c>
      <c r="DL26" s="136">
        <f t="shared" si="150"/>
        <v>0.38017502752774979</v>
      </c>
      <c r="DM26" s="134">
        <f t="shared" si="70"/>
        <v>4.4231467973463334E-2</v>
      </c>
      <c r="DN26" s="52">
        <f t="shared" si="71"/>
        <v>473687.66177203157</v>
      </c>
      <c r="DO26" s="137">
        <f t="shared" si="72"/>
        <v>0</v>
      </c>
      <c r="DP26" s="125" t="s">
        <v>8</v>
      </c>
      <c r="DQ26" s="133" t="s">
        <v>8</v>
      </c>
      <c r="DR26" s="136">
        <f t="shared" si="151"/>
        <v>0.38017502752774979</v>
      </c>
      <c r="DS26" s="134">
        <f t="shared" si="73"/>
        <v>4.4231467973463334E-2</v>
      </c>
      <c r="DT26" s="52">
        <f t="shared" si="74"/>
        <v>473687.66177203157</v>
      </c>
      <c r="DU26" s="137">
        <f t="shared" si="75"/>
        <v>0</v>
      </c>
      <c r="DV26" s="125" t="s">
        <v>8</v>
      </c>
      <c r="DW26" s="133" t="s">
        <v>8</v>
      </c>
      <c r="DX26" s="35">
        <f t="shared" si="76"/>
        <v>0.38017502752774979</v>
      </c>
      <c r="DY26" s="134">
        <f t="shared" si="77"/>
        <v>4.4231467973463334E-2</v>
      </c>
      <c r="DZ26" s="34">
        <f t="shared" si="78"/>
        <v>473687.66177203157</v>
      </c>
      <c r="EA26" s="135">
        <f t="shared" si="79"/>
        <v>0</v>
      </c>
      <c r="EB26" s="125" t="s">
        <v>8</v>
      </c>
      <c r="EC26" s="133" t="s">
        <v>8</v>
      </c>
      <c r="ED26" s="35">
        <f t="shared" si="80"/>
        <v>0.38017502752774979</v>
      </c>
      <c r="EE26" s="134">
        <f t="shared" si="81"/>
        <v>4.4231467973463334E-2</v>
      </c>
      <c r="EF26" s="34">
        <f t="shared" si="82"/>
        <v>473687.66177203157</v>
      </c>
      <c r="EG26" s="135">
        <f t="shared" si="83"/>
        <v>0</v>
      </c>
      <c r="EH26" s="125" t="s">
        <v>8</v>
      </c>
      <c r="EI26" s="133" t="s">
        <v>8</v>
      </c>
      <c r="EJ26" s="35">
        <f t="shared" si="84"/>
        <v>0.38017502752774979</v>
      </c>
      <c r="EK26" s="134">
        <f t="shared" si="85"/>
        <v>4.4231467973463334E-2</v>
      </c>
      <c r="EL26" s="34">
        <f t="shared" si="86"/>
        <v>473687.66177203157</v>
      </c>
      <c r="EM26" s="135">
        <f t="shared" si="87"/>
        <v>0</v>
      </c>
      <c r="EN26" s="125" t="s">
        <v>8</v>
      </c>
      <c r="EO26" s="133" t="s">
        <v>8</v>
      </c>
      <c r="EP26" s="35">
        <f t="shared" si="88"/>
        <v>0.38017502752774979</v>
      </c>
      <c r="EQ26" s="134">
        <f t="shared" si="89"/>
        <v>4.4231467973463334E-2</v>
      </c>
      <c r="ER26" s="34">
        <f t="shared" si="90"/>
        <v>473687.66177203157</v>
      </c>
      <c r="ES26" s="135">
        <f t="shared" si="91"/>
        <v>0</v>
      </c>
      <c r="ET26" s="125" t="s">
        <v>8</v>
      </c>
      <c r="EU26" s="133" t="s">
        <v>8</v>
      </c>
      <c r="EV26" s="35">
        <f t="shared" si="92"/>
        <v>0.38017502752774979</v>
      </c>
      <c r="EW26" s="134">
        <f t="shared" si="93"/>
        <v>4.4231467973463334E-2</v>
      </c>
      <c r="EX26" s="34">
        <f t="shared" si="94"/>
        <v>473687.66177203157</v>
      </c>
      <c r="EY26" s="135">
        <f t="shared" si="95"/>
        <v>0</v>
      </c>
      <c r="EZ26" s="125" t="s">
        <v>8</v>
      </c>
      <c r="FA26" s="133" t="s">
        <v>8</v>
      </c>
      <c r="FB26" s="35">
        <f t="shared" si="96"/>
        <v>0.38017502752774979</v>
      </c>
      <c r="FC26" s="134">
        <f t="shared" si="97"/>
        <v>4.4231467973463334E-2</v>
      </c>
      <c r="FD26" s="34">
        <f t="shared" si="98"/>
        <v>473687.66177203157</v>
      </c>
      <c r="FE26" s="135">
        <f t="shared" si="99"/>
        <v>0</v>
      </c>
      <c r="FF26" s="125" t="s">
        <v>8</v>
      </c>
      <c r="FG26" s="133" t="s">
        <v>8</v>
      </c>
      <c r="FH26" s="35">
        <f t="shared" si="100"/>
        <v>0.38017502752774979</v>
      </c>
      <c r="FI26" s="134">
        <f t="shared" si="101"/>
        <v>4.4231467973463334E-2</v>
      </c>
      <c r="FJ26" s="34">
        <f t="shared" si="102"/>
        <v>473687.66177203157</v>
      </c>
      <c r="FK26" s="135">
        <f t="shared" si="103"/>
        <v>0</v>
      </c>
      <c r="FL26" s="125" t="s">
        <v>8</v>
      </c>
      <c r="FM26" s="133" t="s">
        <v>8</v>
      </c>
      <c r="FN26" s="35">
        <f t="shared" si="104"/>
        <v>0.38017502752774979</v>
      </c>
      <c r="FO26" s="134">
        <f t="shared" si="105"/>
        <v>4.4231467973463334E-2</v>
      </c>
      <c r="FP26" s="34">
        <f t="shared" si="106"/>
        <v>473687.66177203157</v>
      </c>
      <c r="FQ26" s="135">
        <f t="shared" si="107"/>
        <v>0</v>
      </c>
      <c r="FR26" s="125" t="s">
        <v>8</v>
      </c>
      <c r="FS26" s="133" t="s">
        <v>8</v>
      </c>
      <c r="FT26" s="35">
        <f t="shared" si="108"/>
        <v>0.38017502752774979</v>
      </c>
      <c r="FU26" s="134">
        <f t="shared" si="109"/>
        <v>4.4231467973463334E-2</v>
      </c>
      <c r="FV26" s="34">
        <f t="shared" si="110"/>
        <v>473687.66177203157</v>
      </c>
      <c r="FW26" s="135">
        <f t="shared" si="111"/>
        <v>0</v>
      </c>
      <c r="FX26" s="125" t="s">
        <v>8</v>
      </c>
      <c r="FY26" s="133" t="s">
        <v>8</v>
      </c>
      <c r="FZ26" s="35">
        <f t="shared" si="112"/>
        <v>0.38017502752774979</v>
      </c>
      <c r="GA26" s="134">
        <f t="shared" si="113"/>
        <v>4.4231467973463334E-2</v>
      </c>
      <c r="GB26" s="34">
        <f t="shared" si="114"/>
        <v>473687.66177203157</v>
      </c>
      <c r="GC26" s="135">
        <f t="shared" si="115"/>
        <v>0</v>
      </c>
      <c r="GD26" s="125" t="s">
        <v>8</v>
      </c>
      <c r="GE26" s="133" t="s">
        <v>8</v>
      </c>
      <c r="GF26" s="35">
        <f t="shared" si="116"/>
        <v>0.38017502752774979</v>
      </c>
      <c r="GG26" s="134">
        <f t="shared" si="117"/>
        <v>4.4231467973463334E-2</v>
      </c>
      <c r="GH26" s="34">
        <f t="shared" si="118"/>
        <v>473687.66177203157</v>
      </c>
      <c r="GI26" s="137">
        <f t="shared" si="119"/>
        <v>0</v>
      </c>
      <c r="GJ26" s="152">
        <f t="shared" si="133"/>
        <v>1430100.1712818937</v>
      </c>
      <c r="GK26" s="87">
        <f t="shared" si="120"/>
        <v>1539972.088521715</v>
      </c>
      <c r="GL26" s="194">
        <f t="shared" si="121"/>
        <v>0.38017502752774979</v>
      </c>
      <c r="GM26" s="197"/>
      <c r="GN26" s="201">
        <v>1539972.09</v>
      </c>
      <c r="GO26" s="197"/>
      <c r="GP26" s="201">
        <v>1520740.88</v>
      </c>
      <c r="GQ26" s="197">
        <f t="shared" si="122"/>
        <v>19231.208521715133</v>
      </c>
      <c r="GR26" s="224">
        <f t="shared" si="123"/>
        <v>1.2645946968766282</v>
      </c>
    </row>
    <row r="27" spans="1:200" s="25" customFormat="1" x14ac:dyDescent="0.2">
      <c r="A27" s="171" t="s">
        <v>196</v>
      </c>
      <c r="B27" s="141" t="s">
        <v>8</v>
      </c>
      <c r="C27" s="141" t="s">
        <v>8</v>
      </c>
      <c r="D27" s="141" t="s">
        <v>8</v>
      </c>
      <c r="E27" s="141" t="s">
        <v>8</v>
      </c>
      <c r="F27" s="141" t="s">
        <v>8</v>
      </c>
      <c r="G27" s="126">
        <f>'Исходные данные'!C29</f>
        <v>1040</v>
      </c>
      <c r="H27" s="127">
        <f>'Исходные данные'!D29</f>
        <v>807944.5</v>
      </c>
      <c r="I27" s="128">
        <f>'Расчет КРП'!G25</f>
        <v>4.8989794855663558</v>
      </c>
      <c r="J27" s="129" t="s">
        <v>8</v>
      </c>
      <c r="K27" s="130">
        <f t="shared" si="124"/>
        <v>0.10451753420052971</v>
      </c>
      <c r="L27" s="131">
        <f t="shared" si="7"/>
        <v>816191.38521010091</v>
      </c>
      <c r="M27" s="132">
        <f t="shared" si="8"/>
        <v>0.21010190418865943</v>
      </c>
      <c r="N27" s="133" t="s">
        <v>8</v>
      </c>
      <c r="O27" s="134">
        <f t="shared" si="9"/>
        <v>-3.8334973056082938E-2</v>
      </c>
      <c r="P27" s="34">
        <f t="shared" si="10"/>
        <v>0</v>
      </c>
      <c r="Q27" s="135">
        <f t="shared" si="11"/>
        <v>0</v>
      </c>
      <c r="R27" s="146" t="s">
        <v>8</v>
      </c>
      <c r="S27" s="133" t="s">
        <v>8</v>
      </c>
      <c r="T27" s="136">
        <f t="shared" si="134"/>
        <v>0.21010190418865943</v>
      </c>
      <c r="U27" s="134">
        <f t="shared" si="13"/>
        <v>6.5508804485409577E-2</v>
      </c>
      <c r="V27" s="52">
        <f t="shared" si="14"/>
        <v>954840.59592446755</v>
      </c>
      <c r="W27" s="135">
        <f t="shared" si="15"/>
        <v>954840.59592446755</v>
      </c>
      <c r="X27" s="125" t="s">
        <v>8</v>
      </c>
      <c r="Y27" s="133" t="s">
        <v>8</v>
      </c>
      <c r="Z27" s="136">
        <f t="shared" si="135"/>
        <v>0.33362225074784718</v>
      </c>
      <c r="AA27" s="134">
        <f t="shared" si="17"/>
        <v>4.430063012422647E-2</v>
      </c>
      <c r="AB27" s="52">
        <f t="shared" si="18"/>
        <v>791235.42373145337</v>
      </c>
      <c r="AC27" s="135">
        <f t="shared" si="19"/>
        <v>354059.35205259913</v>
      </c>
      <c r="AD27" s="125" t="s">
        <v>8</v>
      </c>
      <c r="AE27" s="133" t="s">
        <v>8</v>
      </c>
      <c r="AF27" s="136">
        <f t="shared" si="136"/>
        <v>0.37942417208919543</v>
      </c>
      <c r="AG27" s="134">
        <f t="shared" si="21"/>
        <v>4.4982323412017688E-2</v>
      </c>
      <c r="AH27" s="52">
        <f t="shared" si="22"/>
        <v>861615.21055756602</v>
      </c>
      <c r="AI27" s="135">
        <f t="shared" si="23"/>
        <v>0</v>
      </c>
      <c r="AJ27" s="125" t="s">
        <v>8</v>
      </c>
      <c r="AK27" s="133" t="s">
        <v>8</v>
      </c>
      <c r="AL27" s="136">
        <f t="shared" si="137"/>
        <v>0.37942417208919543</v>
      </c>
      <c r="AM27" s="134">
        <f t="shared" si="25"/>
        <v>4.4982323412017688E-2</v>
      </c>
      <c r="AN27" s="52">
        <f t="shared" si="26"/>
        <v>861615.21055756602</v>
      </c>
      <c r="AO27" s="135">
        <f t="shared" si="27"/>
        <v>0</v>
      </c>
      <c r="AP27" s="125" t="s">
        <v>8</v>
      </c>
      <c r="AQ27" s="133" t="s">
        <v>8</v>
      </c>
      <c r="AR27" s="136">
        <f t="shared" si="138"/>
        <v>0.37942417208919543</v>
      </c>
      <c r="AS27" s="134">
        <f t="shared" si="29"/>
        <v>4.4982323412017688E-2</v>
      </c>
      <c r="AT27" s="52">
        <f t="shared" si="30"/>
        <v>861615.21055756602</v>
      </c>
      <c r="AU27" s="135">
        <f t="shared" si="31"/>
        <v>0</v>
      </c>
      <c r="AV27" s="125" t="s">
        <v>8</v>
      </c>
      <c r="AW27" s="133" t="s">
        <v>8</v>
      </c>
      <c r="AX27" s="136">
        <f t="shared" si="139"/>
        <v>0.37942417208919543</v>
      </c>
      <c r="AY27" s="134">
        <f t="shared" si="33"/>
        <v>4.4982323412017688E-2</v>
      </c>
      <c r="AZ27" s="52">
        <f t="shared" si="34"/>
        <v>861615.21055756602</v>
      </c>
      <c r="BA27" s="135">
        <f t="shared" si="35"/>
        <v>0</v>
      </c>
      <c r="BB27" s="125" t="s">
        <v>8</v>
      </c>
      <c r="BC27" s="133" t="s">
        <v>8</v>
      </c>
      <c r="BD27" s="136">
        <f t="shared" si="140"/>
        <v>0.37942417208919543</v>
      </c>
      <c r="BE27" s="134">
        <f t="shared" si="37"/>
        <v>4.4982323412017688E-2</v>
      </c>
      <c r="BF27" s="52">
        <f t="shared" si="38"/>
        <v>861615.21055756602</v>
      </c>
      <c r="BG27" s="135">
        <f t="shared" si="39"/>
        <v>0</v>
      </c>
      <c r="BH27" s="125" t="s">
        <v>8</v>
      </c>
      <c r="BI27" s="133" t="s">
        <v>8</v>
      </c>
      <c r="BJ27" s="136">
        <f t="shared" si="141"/>
        <v>0.37942417208919543</v>
      </c>
      <c r="BK27" s="134">
        <f t="shared" si="41"/>
        <v>4.4982323412017688E-2</v>
      </c>
      <c r="BL27" s="52">
        <f t="shared" si="42"/>
        <v>861615.21055756602</v>
      </c>
      <c r="BM27" s="135">
        <f t="shared" si="43"/>
        <v>0</v>
      </c>
      <c r="BN27" s="125" t="s">
        <v>8</v>
      </c>
      <c r="BO27" s="133" t="s">
        <v>8</v>
      </c>
      <c r="BP27" s="136">
        <f t="shared" si="142"/>
        <v>0.37942417208919543</v>
      </c>
      <c r="BQ27" s="134">
        <f t="shared" si="45"/>
        <v>4.4982323412017688E-2</v>
      </c>
      <c r="BR27" s="52">
        <f t="shared" si="46"/>
        <v>861615.21055756602</v>
      </c>
      <c r="BS27" s="137">
        <f t="shared" si="47"/>
        <v>0</v>
      </c>
      <c r="BT27" s="125" t="s">
        <v>8</v>
      </c>
      <c r="BU27" s="133" t="s">
        <v>8</v>
      </c>
      <c r="BV27" s="136">
        <f t="shared" si="143"/>
        <v>0.37942417208919543</v>
      </c>
      <c r="BW27" s="134">
        <f t="shared" si="48"/>
        <v>4.4982323412017688E-2</v>
      </c>
      <c r="BX27" s="52">
        <f t="shared" si="49"/>
        <v>861615.21055756602</v>
      </c>
      <c r="BY27" s="137">
        <f t="shared" si="50"/>
        <v>0</v>
      </c>
      <c r="BZ27" s="125" t="s">
        <v>8</v>
      </c>
      <c r="CA27" s="133" t="s">
        <v>8</v>
      </c>
      <c r="CB27" s="136">
        <f t="shared" si="144"/>
        <v>0.37942417208919543</v>
      </c>
      <c r="CC27" s="134">
        <f t="shared" si="51"/>
        <v>4.4982323412017688E-2</v>
      </c>
      <c r="CD27" s="52">
        <f t="shared" si="52"/>
        <v>861615.21055756602</v>
      </c>
      <c r="CE27" s="137">
        <f t="shared" si="53"/>
        <v>0</v>
      </c>
      <c r="CF27" s="125" t="s">
        <v>8</v>
      </c>
      <c r="CG27" s="133" t="s">
        <v>8</v>
      </c>
      <c r="CH27" s="136">
        <f t="shared" si="145"/>
        <v>0.37942417208919543</v>
      </c>
      <c r="CI27" s="134">
        <f t="shared" si="55"/>
        <v>4.4982323412017688E-2</v>
      </c>
      <c r="CJ27" s="52">
        <f t="shared" si="56"/>
        <v>861615.21055756602</v>
      </c>
      <c r="CK27" s="137">
        <f t="shared" si="57"/>
        <v>0</v>
      </c>
      <c r="CL27" s="125" t="s">
        <v>8</v>
      </c>
      <c r="CM27" s="133" t="s">
        <v>8</v>
      </c>
      <c r="CN27" s="136">
        <f t="shared" si="146"/>
        <v>0.37942417208919543</v>
      </c>
      <c r="CO27" s="134">
        <f t="shared" si="58"/>
        <v>4.4982323412017688E-2</v>
      </c>
      <c r="CP27" s="52">
        <f t="shared" si="59"/>
        <v>861615.21055756602</v>
      </c>
      <c r="CQ27" s="137">
        <f t="shared" si="60"/>
        <v>0</v>
      </c>
      <c r="CR27" s="125" t="s">
        <v>8</v>
      </c>
      <c r="CS27" s="133" t="s">
        <v>8</v>
      </c>
      <c r="CT27" s="136">
        <f t="shared" si="147"/>
        <v>0.37942417208919543</v>
      </c>
      <c r="CU27" s="134">
        <f t="shared" si="61"/>
        <v>4.4982323412017688E-2</v>
      </c>
      <c r="CV27" s="52">
        <f t="shared" si="62"/>
        <v>861615.21055756602</v>
      </c>
      <c r="CW27" s="137">
        <f t="shared" si="63"/>
        <v>0</v>
      </c>
      <c r="CX27" s="125" t="s">
        <v>8</v>
      </c>
      <c r="CY27" s="133" t="s">
        <v>8</v>
      </c>
      <c r="CZ27" s="136">
        <f t="shared" si="148"/>
        <v>0.37942417208919543</v>
      </c>
      <c r="DA27" s="134">
        <f t="shared" si="64"/>
        <v>4.4982323412017688E-2</v>
      </c>
      <c r="DB27" s="52">
        <f t="shared" si="65"/>
        <v>861615.21055756602</v>
      </c>
      <c r="DC27" s="137">
        <f t="shared" si="66"/>
        <v>0</v>
      </c>
      <c r="DD27" s="125" t="s">
        <v>8</v>
      </c>
      <c r="DE27" s="133" t="s">
        <v>8</v>
      </c>
      <c r="DF27" s="136">
        <f t="shared" si="149"/>
        <v>0.37942417208919543</v>
      </c>
      <c r="DG27" s="134">
        <f t="shared" si="67"/>
        <v>4.4982323412017688E-2</v>
      </c>
      <c r="DH27" s="52">
        <f t="shared" si="68"/>
        <v>861615.21055756602</v>
      </c>
      <c r="DI27" s="137">
        <f t="shared" si="69"/>
        <v>0</v>
      </c>
      <c r="DJ27" s="125" t="s">
        <v>8</v>
      </c>
      <c r="DK27" s="133" t="s">
        <v>8</v>
      </c>
      <c r="DL27" s="136">
        <f t="shared" si="150"/>
        <v>0.37942417208919543</v>
      </c>
      <c r="DM27" s="134">
        <f t="shared" si="70"/>
        <v>4.4982323412017688E-2</v>
      </c>
      <c r="DN27" s="52">
        <f t="shared" si="71"/>
        <v>861615.21055756602</v>
      </c>
      <c r="DO27" s="137">
        <f t="shared" si="72"/>
        <v>0</v>
      </c>
      <c r="DP27" s="125" t="s">
        <v>8</v>
      </c>
      <c r="DQ27" s="133" t="s">
        <v>8</v>
      </c>
      <c r="DR27" s="136">
        <f t="shared" si="151"/>
        <v>0.37942417208919543</v>
      </c>
      <c r="DS27" s="134">
        <f t="shared" si="73"/>
        <v>4.4982323412017688E-2</v>
      </c>
      <c r="DT27" s="52">
        <f t="shared" si="74"/>
        <v>861615.21055756602</v>
      </c>
      <c r="DU27" s="137">
        <f t="shared" si="75"/>
        <v>0</v>
      </c>
      <c r="DV27" s="125" t="s">
        <v>8</v>
      </c>
      <c r="DW27" s="133" t="s">
        <v>8</v>
      </c>
      <c r="DX27" s="35">
        <f t="shared" si="76"/>
        <v>0.37942417208919543</v>
      </c>
      <c r="DY27" s="134">
        <f t="shared" si="77"/>
        <v>4.4982323412017688E-2</v>
      </c>
      <c r="DZ27" s="34">
        <f t="shared" si="78"/>
        <v>861615.21055756602</v>
      </c>
      <c r="EA27" s="135">
        <f t="shared" si="79"/>
        <v>0</v>
      </c>
      <c r="EB27" s="125" t="s">
        <v>8</v>
      </c>
      <c r="EC27" s="133" t="s">
        <v>8</v>
      </c>
      <c r="ED27" s="35">
        <f t="shared" si="80"/>
        <v>0.37942417208919543</v>
      </c>
      <c r="EE27" s="134">
        <f t="shared" si="81"/>
        <v>4.4982323412017688E-2</v>
      </c>
      <c r="EF27" s="34">
        <f t="shared" si="82"/>
        <v>861615.21055756602</v>
      </c>
      <c r="EG27" s="135">
        <f t="shared" si="83"/>
        <v>0</v>
      </c>
      <c r="EH27" s="125" t="s">
        <v>8</v>
      </c>
      <c r="EI27" s="133" t="s">
        <v>8</v>
      </c>
      <c r="EJ27" s="35">
        <f t="shared" si="84"/>
        <v>0.37942417208919543</v>
      </c>
      <c r="EK27" s="134">
        <f t="shared" si="85"/>
        <v>4.4982323412017688E-2</v>
      </c>
      <c r="EL27" s="34">
        <f t="shared" si="86"/>
        <v>861615.21055756602</v>
      </c>
      <c r="EM27" s="135">
        <f t="shared" si="87"/>
        <v>0</v>
      </c>
      <c r="EN27" s="125" t="s">
        <v>8</v>
      </c>
      <c r="EO27" s="133" t="s">
        <v>8</v>
      </c>
      <c r="EP27" s="35">
        <f t="shared" si="88"/>
        <v>0.37942417208919543</v>
      </c>
      <c r="EQ27" s="134">
        <f t="shared" si="89"/>
        <v>4.4982323412017688E-2</v>
      </c>
      <c r="ER27" s="34">
        <f t="shared" si="90"/>
        <v>861615.21055756602</v>
      </c>
      <c r="ES27" s="135">
        <f t="shared" si="91"/>
        <v>0</v>
      </c>
      <c r="ET27" s="125" t="s">
        <v>8</v>
      </c>
      <c r="EU27" s="133" t="s">
        <v>8</v>
      </c>
      <c r="EV27" s="35">
        <f t="shared" si="92"/>
        <v>0.37942417208919543</v>
      </c>
      <c r="EW27" s="134">
        <f t="shared" si="93"/>
        <v>4.4982323412017688E-2</v>
      </c>
      <c r="EX27" s="34">
        <f t="shared" si="94"/>
        <v>861615.21055756602</v>
      </c>
      <c r="EY27" s="135">
        <f t="shared" si="95"/>
        <v>0</v>
      </c>
      <c r="EZ27" s="125" t="s">
        <v>8</v>
      </c>
      <c r="FA27" s="133" t="s">
        <v>8</v>
      </c>
      <c r="FB27" s="35">
        <f t="shared" si="96"/>
        <v>0.37942417208919543</v>
      </c>
      <c r="FC27" s="134">
        <f t="shared" si="97"/>
        <v>4.4982323412017688E-2</v>
      </c>
      <c r="FD27" s="34">
        <f t="shared" si="98"/>
        <v>861615.21055756602</v>
      </c>
      <c r="FE27" s="135">
        <f t="shared" si="99"/>
        <v>0</v>
      </c>
      <c r="FF27" s="125" t="s">
        <v>8</v>
      </c>
      <c r="FG27" s="133" t="s">
        <v>8</v>
      </c>
      <c r="FH27" s="35">
        <f t="shared" si="100"/>
        <v>0.37942417208919543</v>
      </c>
      <c r="FI27" s="134">
        <f t="shared" si="101"/>
        <v>4.4982323412017688E-2</v>
      </c>
      <c r="FJ27" s="34">
        <f t="shared" si="102"/>
        <v>861615.21055756602</v>
      </c>
      <c r="FK27" s="135">
        <f t="shared" si="103"/>
        <v>0</v>
      </c>
      <c r="FL27" s="125" t="s">
        <v>8</v>
      </c>
      <c r="FM27" s="133" t="s">
        <v>8</v>
      </c>
      <c r="FN27" s="35">
        <f t="shared" si="104"/>
        <v>0.37942417208919543</v>
      </c>
      <c r="FO27" s="134">
        <f t="shared" si="105"/>
        <v>4.4982323412017688E-2</v>
      </c>
      <c r="FP27" s="34">
        <f t="shared" si="106"/>
        <v>861615.21055756602</v>
      </c>
      <c r="FQ27" s="135">
        <f t="shared" si="107"/>
        <v>0</v>
      </c>
      <c r="FR27" s="125" t="s">
        <v>8</v>
      </c>
      <c r="FS27" s="133" t="s">
        <v>8</v>
      </c>
      <c r="FT27" s="35">
        <f t="shared" si="108"/>
        <v>0.37942417208919543</v>
      </c>
      <c r="FU27" s="134">
        <f t="shared" si="109"/>
        <v>4.4982323412017688E-2</v>
      </c>
      <c r="FV27" s="34">
        <f t="shared" si="110"/>
        <v>861615.21055756602</v>
      </c>
      <c r="FW27" s="135">
        <f t="shared" si="111"/>
        <v>0</v>
      </c>
      <c r="FX27" s="125" t="s">
        <v>8</v>
      </c>
      <c r="FY27" s="133" t="s">
        <v>8</v>
      </c>
      <c r="FZ27" s="35">
        <f t="shared" si="112"/>
        <v>0.37942417208919543</v>
      </c>
      <c r="GA27" s="134">
        <f t="shared" si="113"/>
        <v>4.4982323412017688E-2</v>
      </c>
      <c r="GB27" s="34">
        <f t="shared" si="114"/>
        <v>861615.21055756602</v>
      </c>
      <c r="GC27" s="135">
        <f t="shared" si="115"/>
        <v>0</v>
      </c>
      <c r="GD27" s="125" t="s">
        <v>8</v>
      </c>
      <c r="GE27" s="133" t="s">
        <v>8</v>
      </c>
      <c r="GF27" s="35">
        <f t="shared" si="116"/>
        <v>0.37942417208919543</v>
      </c>
      <c r="GG27" s="134">
        <f t="shared" si="117"/>
        <v>4.4982323412017688E-2</v>
      </c>
      <c r="GH27" s="34">
        <f t="shared" si="118"/>
        <v>861615.21055756602</v>
      </c>
      <c r="GI27" s="137">
        <f t="shared" si="119"/>
        <v>0</v>
      </c>
      <c r="GJ27" s="152">
        <f t="shared" si="133"/>
        <v>1308899.9479770667</v>
      </c>
      <c r="GK27" s="87">
        <f t="shared" si="120"/>
        <v>2125091.3331871675</v>
      </c>
      <c r="GL27" s="194">
        <f t="shared" si="121"/>
        <v>0.37942417208919543</v>
      </c>
      <c r="GM27" s="197"/>
      <c r="GN27" s="201">
        <v>2125091.33</v>
      </c>
      <c r="GO27" s="197"/>
      <c r="GP27" s="201">
        <v>2013303.76</v>
      </c>
      <c r="GQ27" s="197">
        <f t="shared" si="122"/>
        <v>111787.57318716752</v>
      </c>
      <c r="GR27" s="224">
        <f t="shared" si="123"/>
        <v>5.5524444650700673</v>
      </c>
    </row>
    <row r="28" spans="1:200" s="25" customFormat="1" x14ac:dyDescent="0.2">
      <c r="A28" s="171" t="s">
        <v>197</v>
      </c>
      <c r="B28" s="141" t="s">
        <v>8</v>
      </c>
      <c r="C28" s="141" t="s">
        <v>8</v>
      </c>
      <c r="D28" s="141" t="s">
        <v>8</v>
      </c>
      <c r="E28" s="141" t="s">
        <v>8</v>
      </c>
      <c r="F28" s="141" t="s">
        <v>8</v>
      </c>
      <c r="G28" s="126">
        <f>'Исходные данные'!C30</f>
        <v>724</v>
      </c>
      <c r="H28" s="127">
        <f>'Исходные данные'!D30</f>
        <v>572075.25</v>
      </c>
      <c r="I28" s="128">
        <f>'Расчет КРП'!G26</f>
        <v>9.8107084351742913</v>
      </c>
      <c r="J28" s="129" t="s">
        <v>8</v>
      </c>
      <c r="K28" s="130">
        <f t="shared" si="124"/>
        <v>5.3083654058793339E-2</v>
      </c>
      <c r="L28" s="131">
        <f t="shared" si="7"/>
        <v>568194.77201164723</v>
      </c>
      <c r="M28" s="132">
        <f t="shared" si="8"/>
        <v>0.10580723319542133</v>
      </c>
      <c r="N28" s="133" t="s">
        <v>8</v>
      </c>
      <c r="O28" s="134">
        <f t="shared" si="9"/>
        <v>6.5959697937155157E-2</v>
      </c>
      <c r="P28" s="34">
        <f t="shared" si="10"/>
        <v>1078523.9011198508</v>
      </c>
      <c r="Q28" s="135">
        <f t="shared" si="11"/>
        <v>1078523.9011198508</v>
      </c>
      <c r="R28" s="146" t="s">
        <v>8</v>
      </c>
      <c r="S28" s="133" t="s">
        <v>8</v>
      </c>
      <c r="T28" s="136">
        <f t="shared" si="134"/>
        <v>0.20588495839186424</v>
      </c>
      <c r="U28" s="134">
        <f t="shared" si="13"/>
        <v>6.9725750282204763E-2</v>
      </c>
      <c r="V28" s="52">
        <f t="shared" si="14"/>
        <v>1416851.6252965305</v>
      </c>
      <c r="W28" s="135">
        <f t="shared" si="15"/>
        <v>1416851.6252965305</v>
      </c>
      <c r="X28" s="125" t="s">
        <v>8</v>
      </c>
      <c r="Y28" s="133" t="s">
        <v>8</v>
      </c>
      <c r="Z28" s="136">
        <f t="shared" si="135"/>
        <v>0.33735658127693074</v>
      </c>
      <c r="AA28" s="134">
        <f t="shared" si="17"/>
        <v>4.0566299595142907E-2</v>
      </c>
      <c r="AB28" s="52">
        <f t="shared" si="18"/>
        <v>1010092.5959953285</v>
      </c>
      <c r="AC28" s="135">
        <f t="shared" si="19"/>
        <v>451992.81948809081</v>
      </c>
      <c r="AD28" s="125" t="s">
        <v>8</v>
      </c>
      <c r="AE28" s="133" t="s">
        <v>8</v>
      </c>
      <c r="AF28" s="136">
        <f t="shared" si="136"/>
        <v>0.37929762044400617</v>
      </c>
      <c r="AG28" s="134">
        <f t="shared" si="21"/>
        <v>4.5108875057206954E-2</v>
      </c>
      <c r="AH28" s="52">
        <f t="shared" si="22"/>
        <v>1204573.8898483536</v>
      </c>
      <c r="AI28" s="135">
        <f t="shared" si="23"/>
        <v>0</v>
      </c>
      <c r="AJ28" s="125" t="s">
        <v>8</v>
      </c>
      <c r="AK28" s="133" t="s">
        <v>8</v>
      </c>
      <c r="AL28" s="136">
        <f t="shared" si="137"/>
        <v>0.37929762044400617</v>
      </c>
      <c r="AM28" s="134">
        <f t="shared" si="25"/>
        <v>4.5108875057206954E-2</v>
      </c>
      <c r="AN28" s="52">
        <f t="shared" si="26"/>
        <v>1204573.8898483536</v>
      </c>
      <c r="AO28" s="135">
        <f t="shared" si="27"/>
        <v>0</v>
      </c>
      <c r="AP28" s="125" t="s">
        <v>8</v>
      </c>
      <c r="AQ28" s="133" t="s">
        <v>8</v>
      </c>
      <c r="AR28" s="136">
        <f t="shared" si="138"/>
        <v>0.37929762044400617</v>
      </c>
      <c r="AS28" s="134">
        <f t="shared" si="29"/>
        <v>4.5108875057206954E-2</v>
      </c>
      <c r="AT28" s="52">
        <f t="shared" si="30"/>
        <v>1204573.8898483536</v>
      </c>
      <c r="AU28" s="135">
        <f t="shared" si="31"/>
        <v>0</v>
      </c>
      <c r="AV28" s="125" t="s">
        <v>8</v>
      </c>
      <c r="AW28" s="133" t="s">
        <v>8</v>
      </c>
      <c r="AX28" s="136">
        <f t="shared" si="139"/>
        <v>0.37929762044400617</v>
      </c>
      <c r="AY28" s="134">
        <f t="shared" si="33"/>
        <v>4.5108875057206954E-2</v>
      </c>
      <c r="AZ28" s="52">
        <f t="shared" si="34"/>
        <v>1204573.8898483536</v>
      </c>
      <c r="BA28" s="135">
        <f t="shared" si="35"/>
        <v>0</v>
      </c>
      <c r="BB28" s="125" t="s">
        <v>8</v>
      </c>
      <c r="BC28" s="133" t="s">
        <v>8</v>
      </c>
      <c r="BD28" s="136">
        <f t="shared" si="140"/>
        <v>0.37929762044400617</v>
      </c>
      <c r="BE28" s="134">
        <f t="shared" si="37"/>
        <v>4.5108875057206954E-2</v>
      </c>
      <c r="BF28" s="52">
        <f t="shared" si="38"/>
        <v>1204573.8898483536</v>
      </c>
      <c r="BG28" s="135">
        <f t="shared" si="39"/>
        <v>0</v>
      </c>
      <c r="BH28" s="125" t="s">
        <v>8</v>
      </c>
      <c r="BI28" s="133" t="s">
        <v>8</v>
      </c>
      <c r="BJ28" s="136">
        <f t="shared" si="141"/>
        <v>0.37929762044400617</v>
      </c>
      <c r="BK28" s="134">
        <f t="shared" si="41"/>
        <v>4.5108875057206954E-2</v>
      </c>
      <c r="BL28" s="52">
        <f t="shared" si="42"/>
        <v>1204573.8898483536</v>
      </c>
      <c r="BM28" s="135">
        <f t="shared" si="43"/>
        <v>0</v>
      </c>
      <c r="BN28" s="125" t="s">
        <v>8</v>
      </c>
      <c r="BO28" s="133" t="s">
        <v>8</v>
      </c>
      <c r="BP28" s="136">
        <f t="shared" si="142"/>
        <v>0.37929762044400617</v>
      </c>
      <c r="BQ28" s="134">
        <f t="shared" si="45"/>
        <v>4.5108875057206954E-2</v>
      </c>
      <c r="BR28" s="52">
        <f t="shared" si="46"/>
        <v>1204573.8898483536</v>
      </c>
      <c r="BS28" s="137">
        <f t="shared" si="47"/>
        <v>0</v>
      </c>
      <c r="BT28" s="125" t="s">
        <v>8</v>
      </c>
      <c r="BU28" s="133" t="s">
        <v>8</v>
      </c>
      <c r="BV28" s="136">
        <f t="shared" si="143"/>
        <v>0.37929762044400617</v>
      </c>
      <c r="BW28" s="134">
        <f t="shared" si="48"/>
        <v>4.5108875057206954E-2</v>
      </c>
      <c r="BX28" s="52">
        <f t="shared" si="49"/>
        <v>1204573.8898483536</v>
      </c>
      <c r="BY28" s="137">
        <f t="shared" si="50"/>
        <v>0</v>
      </c>
      <c r="BZ28" s="125" t="s">
        <v>8</v>
      </c>
      <c r="CA28" s="133" t="s">
        <v>8</v>
      </c>
      <c r="CB28" s="136">
        <f t="shared" si="144"/>
        <v>0.37929762044400617</v>
      </c>
      <c r="CC28" s="134">
        <f t="shared" si="51"/>
        <v>4.5108875057206954E-2</v>
      </c>
      <c r="CD28" s="52">
        <f t="shared" si="52"/>
        <v>1204573.8898483536</v>
      </c>
      <c r="CE28" s="137">
        <f t="shared" si="53"/>
        <v>0</v>
      </c>
      <c r="CF28" s="125" t="s">
        <v>8</v>
      </c>
      <c r="CG28" s="133" t="s">
        <v>8</v>
      </c>
      <c r="CH28" s="136">
        <f t="shared" si="145"/>
        <v>0.37929762044400617</v>
      </c>
      <c r="CI28" s="134">
        <f t="shared" si="55"/>
        <v>4.5108875057206954E-2</v>
      </c>
      <c r="CJ28" s="52">
        <f t="shared" si="56"/>
        <v>1204573.8898483536</v>
      </c>
      <c r="CK28" s="137">
        <f t="shared" si="57"/>
        <v>0</v>
      </c>
      <c r="CL28" s="125" t="s">
        <v>8</v>
      </c>
      <c r="CM28" s="133" t="s">
        <v>8</v>
      </c>
      <c r="CN28" s="136">
        <f t="shared" si="146"/>
        <v>0.37929762044400617</v>
      </c>
      <c r="CO28" s="134">
        <f t="shared" si="58"/>
        <v>4.5108875057206954E-2</v>
      </c>
      <c r="CP28" s="52">
        <f t="shared" si="59"/>
        <v>1204573.8898483536</v>
      </c>
      <c r="CQ28" s="137">
        <f t="shared" si="60"/>
        <v>0</v>
      </c>
      <c r="CR28" s="125" t="s">
        <v>8</v>
      </c>
      <c r="CS28" s="133" t="s">
        <v>8</v>
      </c>
      <c r="CT28" s="136">
        <f t="shared" si="147"/>
        <v>0.37929762044400617</v>
      </c>
      <c r="CU28" s="134">
        <f t="shared" si="61"/>
        <v>4.5108875057206954E-2</v>
      </c>
      <c r="CV28" s="52">
        <f t="shared" si="62"/>
        <v>1204573.8898483536</v>
      </c>
      <c r="CW28" s="137">
        <f t="shared" si="63"/>
        <v>0</v>
      </c>
      <c r="CX28" s="125" t="s">
        <v>8</v>
      </c>
      <c r="CY28" s="133" t="s">
        <v>8</v>
      </c>
      <c r="CZ28" s="136">
        <f t="shared" si="148"/>
        <v>0.37929762044400617</v>
      </c>
      <c r="DA28" s="134">
        <f t="shared" si="64"/>
        <v>4.5108875057206954E-2</v>
      </c>
      <c r="DB28" s="52">
        <f t="shared" si="65"/>
        <v>1204573.8898483536</v>
      </c>
      <c r="DC28" s="137">
        <f t="shared" si="66"/>
        <v>0</v>
      </c>
      <c r="DD28" s="125" t="s">
        <v>8</v>
      </c>
      <c r="DE28" s="133" t="s">
        <v>8</v>
      </c>
      <c r="DF28" s="136">
        <f t="shared" si="149"/>
        <v>0.37929762044400617</v>
      </c>
      <c r="DG28" s="134">
        <f t="shared" si="67"/>
        <v>4.5108875057206954E-2</v>
      </c>
      <c r="DH28" s="52">
        <f t="shared" si="68"/>
        <v>1204573.8898483536</v>
      </c>
      <c r="DI28" s="137">
        <f t="shared" si="69"/>
        <v>0</v>
      </c>
      <c r="DJ28" s="125" t="s">
        <v>8</v>
      </c>
      <c r="DK28" s="133" t="s">
        <v>8</v>
      </c>
      <c r="DL28" s="136">
        <f t="shared" si="150"/>
        <v>0.37929762044400617</v>
      </c>
      <c r="DM28" s="134">
        <f t="shared" si="70"/>
        <v>4.5108875057206954E-2</v>
      </c>
      <c r="DN28" s="52">
        <f t="shared" si="71"/>
        <v>1204573.8898483536</v>
      </c>
      <c r="DO28" s="137">
        <f t="shared" si="72"/>
        <v>0</v>
      </c>
      <c r="DP28" s="125" t="s">
        <v>8</v>
      </c>
      <c r="DQ28" s="133" t="s">
        <v>8</v>
      </c>
      <c r="DR28" s="136">
        <f t="shared" si="151"/>
        <v>0.37929762044400617</v>
      </c>
      <c r="DS28" s="134">
        <f t="shared" si="73"/>
        <v>4.5108875057206954E-2</v>
      </c>
      <c r="DT28" s="52">
        <f t="shared" si="74"/>
        <v>1204573.8898483536</v>
      </c>
      <c r="DU28" s="137">
        <f t="shared" si="75"/>
        <v>0</v>
      </c>
      <c r="DV28" s="125" t="s">
        <v>8</v>
      </c>
      <c r="DW28" s="133" t="s">
        <v>8</v>
      </c>
      <c r="DX28" s="35">
        <f t="shared" si="76"/>
        <v>0.37929762044400617</v>
      </c>
      <c r="DY28" s="134">
        <f t="shared" si="77"/>
        <v>4.5108875057206954E-2</v>
      </c>
      <c r="DZ28" s="34">
        <f t="shared" si="78"/>
        <v>1204573.8898483536</v>
      </c>
      <c r="EA28" s="135">
        <f t="shared" si="79"/>
        <v>0</v>
      </c>
      <c r="EB28" s="125" t="s">
        <v>8</v>
      </c>
      <c r="EC28" s="133" t="s">
        <v>8</v>
      </c>
      <c r="ED28" s="35">
        <f t="shared" si="80"/>
        <v>0.37929762044400617</v>
      </c>
      <c r="EE28" s="134">
        <f t="shared" si="81"/>
        <v>4.5108875057206954E-2</v>
      </c>
      <c r="EF28" s="34">
        <f t="shared" si="82"/>
        <v>1204573.8898483536</v>
      </c>
      <c r="EG28" s="135">
        <f t="shared" si="83"/>
        <v>0</v>
      </c>
      <c r="EH28" s="125" t="s">
        <v>8</v>
      </c>
      <c r="EI28" s="133" t="s">
        <v>8</v>
      </c>
      <c r="EJ28" s="35">
        <f t="shared" si="84"/>
        <v>0.37929762044400617</v>
      </c>
      <c r="EK28" s="134">
        <f t="shared" si="85"/>
        <v>4.5108875057206954E-2</v>
      </c>
      <c r="EL28" s="34">
        <f t="shared" si="86"/>
        <v>1204573.8898483536</v>
      </c>
      <c r="EM28" s="135">
        <f t="shared" si="87"/>
        <v>0</v>
      </c>
      <c r="EN28" s="125" t="s">
        <v>8</v>
      </c>
      <c r="EO28" s="133" t="s">
        <v>8</v>
      </c>
      <c r="EP28" s="35">
        <f t="shared" si="88"/>
        <v>0.37929762044400617</v>
      </c>
      <c r="EQ28" s="134">
        <f t="shared" si="89"/>
        <v>4.5108875057206954E-2</v>
      </c>
      <c r="ER28" s="34">
        <f t="shared" si="90"/>
        <v>1204573.8898483536</v>
      </c>
      <c r="ES28" s="135">
        <f t="shared" si="91"/>
        <v>0</v>
      </c>
      <c r="ET28" s="125" t="s">
        <v>8</v>
      </c>
      <c r="EU28" s="133" t="s">
        <v>8</v>
      </c>
      <c r="EV28" s="35">
        <f t="shared" si="92"/>
        <v>0.37929762044400617</v>
      </c>
      <c r="EW28" s="134">
        <f t="shared" si="93"/>
        <v>4.5108875057206954E-2</v>
      </c>
      <c r="EX28" s="34">
        <f t="shared" si="94"/>
        <v>1204573.8898483536</v>
      </c>
      <c r="EY28" s="135">
        <f t="shared" si="95"/>
        <v>0</v>
      </c>
      <c r="EZ28" s="125" t="s">
        <v>8</v>
      </c>
      <c r="FA28" s="133" t="s">
        <v>8</v>
      </c>
      <c r="FB28" s="35">
        <f t="shared" si="96"/>
        <v>0.37929762044400617</v>
      </c>
      <c r="FC28" s="134">
        <f t="shared" si="97"/>
        <v>4.5108875057206954E-2</v>
      </c>
      <c r="FD28" s="34">
        <f t="shared" si="98"/>
        <v>1204573.8898483536</v>
      </c>
      <c r="FE28" s="135">
        <f t="shared" si="99"/>
        <v>0</v>
      </c>
      <c r="FF28" s="125" t="s">
        <v>8</v>
      </c>
      <c r="FG28" s="133" t="s">
        <v>8</v>
      </c>
      <c r="FH28" s="35">
        <f t="shared" si="100"/>
        <v>0.37929762044400617</v>
      </c>
      <c r="FI28" s="134">
        <f t="shared" si="101"/>
        <v>4.5108875057206954E-2</v>
      </c>
      <c r="FJ28" s="34">
        <f t="shared" si="102"/>
        <v>1204573.8898483536</v>
      </c>
      <c r="FK28" s="135">
        <f t="shared" si="103"/>
        <v>0</v>
      </c>
      <c r="FL28" s="125" t="s">
        <v>8</v>
      </c>
      <c r="FM28" s="133" t="s">
        <v>8</v>
      </c>
      <c r="FN28" s="35">
        <f t="shared" si="104"/>
        <v>0.37929762044400617</v>
      </c>
      <c r="FO28" s="134">
        <f t="shared" si="105"/>
        <v>4.5108875057206954E-2</v>
      </c>
      <c r="FP28" s="34">
        <f t="shared" si="106"/>
        <v>1204573.8898483536</v>
      </c>
      <c r="FQ28" s="135">
        <f t="shared" si="107"/>
        <v>0</v>
      </c>
      <c r="FR28" s="125" t="s">
        <v>8</v>
      </c>
      <c r="FS28" s="133" t="s">
        <v>8</v>
      </c>
      <c r="FT28" s="35">
        <f t="shared" si="108"/>
        <v>0.37929762044400617</v>
      </c>
      <c r="FU28" s="134">
        <f t="shared" si="109"/>
        <v>4.5108875057206954E-2</v>
      </c>
      <c r="FV28" s="34">
        <f t="shared" si="110"/>
        <v>1204573.8898483536</v>
      </c>
      <c r="FW28" s="135">
        <f t="shared" si="111"/>
        <v>0</v>
      </c>
      <c r="FX28" s="125" t="s">
        <v>8</v>
      </c>
      <c r="FY28" s="133" t="s">
        <v>8</v>
      </c>
      <c r="FZ28" s="35">
        <f t="shared" si="112"/>
        <v>0.37929762044400617</v>
      </c>
      <c r="GA28" s="134">
        <f t="shared" si="113"/>
        <v>4.5108875057206954E-2</v>
      </c>
      <c r="GB28" s="34">
        <f t="shared" si="114"/>
        <v>1204573.8898483536</v>
      </c>
      <c r="GC28" s="135">
        <f t="shared" si="115"/>
        <v>0</v>
      </c>
      <c r="GD28" s="125" t="s">
        <v>8</v>
      </c>
      <c r="GE28" s="133" t="s">
        <v>8</v>
      </c>
      <c r="GF28" s="35">
        <f t="shared" si="116"/>
        <v>0.37929762044400617</v>
      </c>
      <c r="GG28" s="134">
        <f t="shared" si="117"/>
        <v>4.5108875057206954E-2</v>
      </c>
      <c r="GH28" s="34">
        <f t="shared" si="118"/>
        <v>1204573.8898483536</v>
      </c>
      <c r="GI28" s="137">
        <f t="shared" si="119"/>
        <v>0</v>
      </c>
      <c r="GJ28" s="152">
        <f t="shared" si="133"/>
        <v>2947368.3459044723</v>
      </c>
      <c r="GK28" s="87">
        <f t="shared" si="120"/>
        <v>3515563.1179161193</v>
      </c>
      <c r="GL28" s="194">
        <f t="shared" si="121"/>
        <v>0.37929762044400611</v>
      </c>
      <c r="GM28" s="197"/>
      <c r="GN28" s="201">
        <v>3515563.12</v>
      </c>
      <c r="GO28" s="197"/>
      <c r="GP28" s="201">
        <v>3479413.15</v>
      </c>
      <c r="GQ28" s="197">
        <f t="shared" si="122"/>
        <v>36149.967916119378</v>
      </c>
      <c r="GR28" s="224">
        <f t="shared" si="123"/>
        <v>1.0389673878228365</v>
      </c>
    </row>
    <row r="29" spans="1:200" s="25" customFormat="1" ht="16.5" thickBot="1" x14ac:dyDescent="0.25">
      <c r="A29" s="171" t="s">
        <v>198</v>
      </c>
      <c r="B29" s="141" t="s">
        <v>8</v>
      </c>
      <c r="C29" s="141" t="s">
        <v>8</v>
      </c>
      <c r="D29" s="141" t="s">
        <v>8</v>
      </c>
      <c r="E29" s="141" t="s">
        <v>8</v>
      </c>
      <c r="F29" s="141" t="s">
        <v>8</v>
      </c>
      <c r="G29" s="126">
        <f>'Исходные данные'!C31</f>
        <v>27196</v>
      </c>
      <c r="H29" s="127">
        <f>'Исходные данные'!D31</f>
        <v>47391841.259999998</v>
      </c>
      <c r="I29" s="128">
        <f>'Расчет КРП'!G27</f>
        <v>2.2360679774997898</v>
      </c>
      <c r="J29" s="129" t="s">
        <v>8</v>
      </c>
      <c r="K29" s="130">
        <f t="shared" si="124"/>
        <v>0.51364153358407594</v>
      </c>
      <c r="L29" s="131">
        <f t="shared" si="7"/>
        <v>21343404.723244142</v>
      </c>
      <c r="M29" s="132">
        <f t="shared" si="8"/>
        <v>0.7449652982339563</v>
      </c>
      <c r="N29" s="133" t="s">
        <v>8</v>
      </c>
      <c r="O29" s="134">
        <f t="shared" si="9"/>
        <v>-0.57319836710137984</v>
      </c>
      <c r="P29" s="34">
        <f t="shared" si="10"/>
        <v>0</v>
      </c>
      <c r="Q29" s="135">
        <f t="shared" si="11"/>
        <v>0</v>
      </c>
      <c r="R29" s="146" t="s">
        <v>8</v>
      </c>
      <c r="S29" s="133" t="s">
        <v>8</v>
      </c>
      <c r="T29" s="136">
        <f t="shared" si="134"/>
        <v>0.7449652982339563</v>
      </c>
      <c r="U29" s="134">
        <f t="shared" si="13"/>
        <v>-0.46935458955988729</v>
      </c>
      <c r="V29" s="52">
        <f t="shared" si="14"/>
        <v>0</v>
      </c>
      <c r="W29" s="135">
        <f t="shared" si="15"/>
        <v>0</v>
      </c>
      <c r="X29" s="125" t="s">
        <v>8</v>
      </c>
      <c r="Y29" s="133" t="s">
        <v>8</v>
      </c>
      <c r="Z29" s="136">
        <f t="shared" si="135"/>
        <v>0.7449652982339563</v>
      </c>
      <c r="AA29" s="134">
        <f t="shared" si="17"/>
        <v>-0.36704241736188264</v>
      </c>
      <c r="AB29" s="52">
        <f t="shared" si="18"/>
        <v>0</v>
      </c>
      <c r="AC29" s="135">
        <f t="shared" si="19"/>
        <v>0</v>
      </c>
      <c r="AD29" s="125" t="s">
        <v>8</v>
      </c>
      <c r="AE29" s="133" t="s">
        <v>8</v>
      </c>
      <c r="AF29" s="136">
        <f t="shared" si="136"/>
        <v>0.7449652982339563</v>
      </c>
      <c r="AG29" s="134">
        <f t="shared" si="21"/>
        <v>-0.32055880273274318</v>
      </c>
      <c r="AH29" s="52">
        <f t="shared" si="22"/>
        <v>0</v>
      </c>
      <c r="AI29" s="135">
        <f t="shared" si="23"/>
        <v>0</v>
      </c>
      <c r="AJ29" s="125" t="s">
        <v>8</v>
      </c>
      <c r="AK29" s="133" t="s">
        <v>8</v>
      </c>
      <c r="AL29" s="136">
        <f t="shared" si="137"/>
        <v>0.7449652982339563</v>
      </c>
      <c r="AM29" s="134">
        <f t="shared" si="25"/>
        <v>-0.32055880273274318</v>
      </c>
      <c r="AN29" s="52">
        <f t="shared" si="26"/>
        <v>0</v>
      </c>
      <c r="AO29" s="135">
        <f t="shared" si="27"/>
        <v>0</v>
      </c>
      <c r="AP29" s="125" t="s">
        <v>8</v>
      </c>
      <c r="AQ29" s="133" t="s">
        <v>8</v>
      </c>
      <c r="AR29" s="136">
        <f t="shared" si="138"/>
        <v>0.7449652982339563</v>
      </c>
      <c r="AS29" s="134">
        <f t="shared" si="29"/>
        <v>-0.32055880273274318</v>
      </c>
      <c r="AT29" s="52">
        <f t="shared" si="30"/>
        <v>0</v>
      </c>
      <c r="AU29" s="135">
        <f t="shared" si="31"/>
        <v>0</v>
      </c>
      <c r="AV29" s="125" t="s">
        <v>8</v>
      </c>
      <c r="AW29" s="133" t="s">
        <v>8</v>
      </c>
      <c r="AX29" s="136">
        <f t="shared" si="139"/>
        <v>0.7449652982339563</v>
      </c>
      <c r="AY29" s="134">
        <f t="shared" si="33"/>
        <v>-0.32055880273274318</v>
      </c>
      <c r="AZ29" s="52">
        <f t="shared" si="34"/>
        <v>0</v>
      </c>
      <c r="BA29" s="135">
        <f t="shared" si="35"/>
        <v>0</v>
      </c>
      <c r="BB29" s="125" t="s">
        <v>8</v>
      </c>
      <c r="BC29" s="133" t="s">
        <v>8</v>
      </c>
      <c r="BD29" s="136">
        <f t="shared" si="140"/>
        <v>0.7449652982339563</v>
      </c>
      <c r="BE29" s="134">
        <f t="shared" si="37"/>
        <v>-0.32055880273274318</v>
      </c>
      <c r="BF29" s="52">
        <f t="shared" si="38"/>
        <v>0</v>
      </c>
      <c r="BG29" s="135">
        <f t="shared" si="39"/>
        <v>0</v>
      </c>
      <c r="BH29" s="125" t="s">
        <v>8</v>
      </c>
      <c r="BI29" s="133" t="s">
        <v>8</v>
      </c>
      <c r="BJ29" s="136">
        <f t="shared" si="141"/>
        <v>0.7449652982339563</v>
      </c>
      <c r="BK29" s="134">
        <f t="shared" si="41"/>
        <v>-0.32055880273274318</v>
      </c>
      <c r="BL29" s="52">
        <f t="shared" si="42"/>
        <v>0</v>
      </c>
      <c r="BM29" s="135">
        <f t="shared" si="43"/>
        <v>0</v>
      </c>
      <c r="BN29" s="125" t="s">
        <v>8</v>
      </c>
      <c r="BO29" s="133" t="s">
        <v>8</v>
      </c>
      <c r="BP29" s="136">
        <f t="shared" si="142"/>
        <v>0.7449652982339563</v>
      </c>
      <c r="BQ29" s="134">
        <f t="shared" si="45"/>
        <v>-0.32055880273274318</v>
      </c>
      <c r="BR29" s="52">
        <f t="shared" si="46"/>
        <v>0</v>
      </c>
      <c r="BS29" s="137">
        <f t="shared" si="47"/>
        <v>0</v>
      </c>
      <c r="BT29" s="125" t="s">
        <v>8</v>
      </c>
      <c r="BU29" s="133" t="s">
        <v>8</v>
      </c>
      <c r="BV29" s="136">
        <f t="shared" si="143"/>
        <v>0.7449652982339563</v>
      </c>
      <c r="BW29" s="134">
        <f t="shared" si="48"/>
        <v>-0.32055880273274318</v>
      </c>
      <c r="BX29" s="52">
        <f t="shared" si="49"/>
        <v>0</v>
      </c>
      <c r="BY29" s="137">
        <f t="shared" si="50"/>
        <v>0</v>
      </c>
      <c r="BZ29" s="125" t="s">
        <v>8</v>
      </c>
      <c r="CA29" s="133" t="s">
        <v>8</v>
      </c>
      <c r="CB29" s="136">
        <f t="shared" si="144"/>
        <v>0.7449652982339563</v>
      </c>
      <c r="CC29" s="134">
        <f t="shared" si="51"/>
        <v>-0.32055880273274318</v>
      </c>
      <c r="CD29" s="52">
        <f t="shared" si="52"/>
        <v>0</v>
      </c>
      <c r="CE29" s="137">
        <f t="shared" si="53"/>
        <v>0</v>
      </c>
      <c r="CF29" s="125" t="s">
        <v>8</v>
      </c>
      <c r="CG29" s="133" t="s">
        <v>8</v>
      </c>
      <c r="CH29" s="136">
        <f t="shared" si="145"/>
        <v>0.7449652982339563</v>
      </c>
      <c r="CI29" s="134">
        <f t="shared" si="55"/>
        <v>-0.32055880273274318</v>
      </c>
      <c r="CJ29" s="52">
        <f t="shared" si="56"/>
        <v>0</v>
      </c>
      <c r="CK29" s="137">
        <f t="shared" si="57"/>
        <v>0</v>
      </c>
      <c r="CL29" s="125" t="s">
        <v>8</v>
      </c>
      <c r="CM29" s="133" t="s">
        <v>8</v>
      </c>
      <c r="CN29" s="136">
        <f t="shared" si="146"/>
        <v>0.7449652982339563</v>
      </c>
      <c r="CO29" s="134">
        <f t="shared" si="58"/>
        <v>-0.32055880273274318</v>
      </c>
      <c r="CP29" s="52">
        <f t="shared" si="59"/>
        <v>0</v>
      </c>
      <c r="CQ29" s="137">
        <f t="shared" si="60"/>
        <v>0</v>
      </c>
      <c r="CR29" s="125" t="s">
        <v>8</v>
      </c>
      <c r="CS29" s="133" t="s">
        <v>8</v>
      </c>
      <c r="CT29" s="136">
        <f t="shared" si="147"/>
        <v>0.7449652982339563</v>
      </c>
      <c r="CU29" s="134">
        <f t="shared" si="61"/>
        <v>-0.32055880273274318</v>
      </c>
      <c r="CV29" s="52">
        <f t="shared" si="62"/>
        <v>0</v>
      </c>
      <c r="CW29" s="137">
        <f t="shared" si="63"/>
        <v>0</v>
      </c>
      <c r="CX29" s="125" t="s">
        <v>8</v>
      </c>
      <c r="CY29" s="133" t="s">
        <v>8</v>
      </c>
      <c r="CZ29" s="136">
        <f t="shared" si="148"/>
        <v>0.7449652982339563</v>
      </c>
      <c r="DA29" s="134">
        <f t="shared" si="64"/>
        <v>-0.32055880273274318</v>
      </c>
      <c r="DB29" s="52">
        <f t="shared" si="65"/>
        <v>0</v>
      </c>
      <c r="DC29" s="137">
        <f t="shared" si="66"/>
        <v>0</v>
      </c>
      <c r="DD29" s="125" t="s">
        <v>8</v>
      </c>
      <c r="DE29" s="133" t="s">
        <v>8</v>
      </c>
      <c r="DF29" s="136">
        <f t="shared" si="149"/>
        <v>0.7449652982339563</v>
      </c>
      <c r="DG29" s="134">
        <f t="shared" si="67"/>
        <v>-0.32055880273274318</v>
      </c>
      <c r="DH29" s="52">
        <f t="shared" si="68"/>
        <v>0</v>
      </c>
      <c r="DI29" s="137">
        <f t="shared" si="69"/>
        <v>0</v>
      </c>
      <c r="DJ29" s="125" t="s">
        <v>8</v>
      </c>
      <c r="DK29" s="133" t="s">
        <v>8</v>
      </c>
      <c r="DL29" s="136">
        <f t="shared" si="150"/>
        <v>0.7449652982339563</v>
      </c>
      <c r="DM29" s="134">
        <f t="shared" si="70"/>
        <v>-0.32055880273274318</v>
      </c>
      <c r="DN29" s="52">
        <f t="shared" si="71"/>
        <v>0</v>
      </c>
      <c r="DO29" s="137">
        <f t="shared" si="72"/>
        <v>0</v>
      </c>
      <c r="DP29" s="125" t="s">
        <v>8</v>
      </c>
      <c r="DQ29" s="133" t="s">
        <v>8</v>
      </c>
      <c r="DR29" s="136">
        <f t="shared" si="151"/>
        <v>0.7449652982339563</v>
      </c>
      <c r="DS29" s="134">
        <f t="shared" si="73"/>
        <v>-0.32055880273274318</v>
      </c>
      <c r="DT29" s="52">
        <f t="shared" si="74"/>
        <v>0</v>
      </c>
      <c r="DU29" s="137">
        <f t="shared" si="75"/>
        <v>0</v>
      </c>
      <c r="DV29" s="125" t="s">
        <v>8</v>
      </c>
      <c r="DW29" s="133" t="s">
        <v>8</v>
      </c>
      <c r="DX29" s="35">
        <f t="shared" si="76"/>
        <v>0.7449652982339563</v>
      </c>
      <c r="DY29" s="134">
        <f t="shared" si="77"/>
        <v>-0.32055880273274318</v>
      </c>
      <c r="DZ29" s="34">
        <f t="shared" si="78"/>
        <v>0</v>
      </c>
      <c r="EA29" s="135">
        <f t="shared" si="79"/>
        <v>0</v>
      </c>
      <c r="EB29" s="125" t="s">
        <v>8</v>
      </c>
      <c r="EC29" s="133" t="s">
        <v>8</v>
      </c>
      <c r="ED29" s="35">
        <f t="shared" si="80"/>
        <v>0.7449652982339563</v>
      </c>
      <c r="EE29" s="134">
        <f t="shared" si="81"/>
        <v>-0.32055880273274318</v>
      </c>
      <c r="EF29" s="34">
        <f t="shared" si="82"/>
        <v>0</v>
      </c>
      <c r="EG29" s="135">
        <f t="shared" si="83"/>
        <v>0</v>
      </c>
      <c r="EH29" s="125" t="s">
        <v>8</v>
      </c>
      <c r="EI29" s="133" t="s">
        <v>8</v>
      </c>
      <c r="EJ29" s="35">
        <f t="shared" si="84"/>
        <v>0.7449652982339563</v>
      </c>
      <c r="EK29" s="134">
        <f t="shared" si="85"/>
        <v>-0.32055880273274318</v>
      </c>
      <c r="EL29" s="34">
        <f t="shared" si="86"/>
        <v>0</v>
      </c>
      <c r="EM29" s="135">
        <f t="shared" si="87"/>
        <v>0</v>
      </c>
      <c r="EN29" s="125" t="s">
        <v>8</v>
      </c>
      <c r="EO29" s="133" t="s">
        <v>8</v>
      </c>
      <c r="EP29" s="35">
        <f t="shared" si="88"/>
        <v>0.7449652982339563</v>
      </c>
      <c r="EQ29" s="134">
        <f t="shared" si="89"/>
        <v>-0.32055880273274318</v>
      </c>
      <c r="ER29" s="34">
        <f t="shared" si="90"/>
        <v>0</v>
      </c>
      <c r="ES29" s="135">
        <f t="shared" si="91"/>
        <v>0</v>
      </c>
      <c r="ET29" s="125" t="s">
        <v>8</v>
      </c>
      <c r="EU29" s="133" t="s">
        <v>8</v>
      </c>
      <c r="EV29" s="35">
        <f t="shared" si="92"/>
        <v>0.7449652982339563</v>
      </c>
      <c r="EW29" s="134">
        <f t="shared" si="93"/>
        <v>-0.32055880273274318</v>
      </c>
      <c r="EX29" s="34">
        <f t="shared" si="94"/>
        <v>0</v>
      </c>
      <c r="EY29" s="135">
        <f t="shared" si="95"/>
        <v>0</v>
      </c>
      <c r="EZ29" s="125" t="s">
        <v>8</v>
      </c>
      <c r="FA29" s="133" t="s">
        <v>8</v>
      </c>
      <c r="FB29" s="35">
        <f t="shared" si="96"/>
        <v>0.7449652982339563</v>
      </c>
      <c r="FC29" s="134">
        <f t="shared" si="97"/>
        <v>-0.32055880273274318</v>
      </c>
      <c r="FD29" s="34">
        <f t="shared" si="98"/>
        <v>0</v>
      </c>
      <c r="FE29" s="135">
        <f t="shared" si="99"/>
        <v>0</v>
      </c>
      <c r="FF29" s="125" t="s">
        <v>8</v>
      </c>
      <c r="FG29" s="133" t="s">
        <v>8</v>
      </c>
      <c r="FH29" s="35">
        <f t="shared" si="100"/>
        <v>0.7449652982339563</v>
      </c>
      <c r="FI29" s="134">
        <f t="shared" si="101"/>
        <v>-0.32055880273274318</v>
      </c>
      <c r="FJ29" s="34">
        <f t="shared" si="102"/>
        <v>0</v>
      </c>
      <c r="FK29" s="135">
        <f t="shared" si="103"/>
        <v>0</v>
      </c>
      <c r="FL29" s="125" t="s">
        <v>8</v>
      </c>
      <c r="FM29" s="133" t="s">
        <v>8</v>
      </c>
      <c r="FN29" s="35">
        <f t="shared" si="104"/>
        <v>0.7449652982339563</v>
      </c>
      <c r="FO29" s="134">
        <f t="shared" si="105"/>
        <v>-0.32055880273274318</v>
      </c>
      <c r="FP29" s="34">
        <f t="shared" si="106"/>
        <v>0</v>
      </c>
      <c r="FQ29" s="135">
        <f t="shared" si="107"/>
        <v>0</v>
      </c>
      <c r="FR29" s="125" t="s">
        <v>8</v>
      </c>
      <c r="FS29" s="133" t="s">
        <v>8</v>
      </c>
      <c r="FT29" s="35">
        <f t="shared" si="108"/>
        <v>0.7449652982339563</v>
      </c>
      <c r="FU29" s="134">
        <f t="shared" si="109"/>
        <v>-0.32055880273274318</v>
      </c>
      <c r="FV29" s="34">
        <f t="shared" si="110"/>
        <v>0</v>
      </c>
      <c r="FW29" s="135">
        <f t="shared" si="111"/>
        <v>0</v>
      </c>
      <c r="FX29" s="125" t="s">
        <v>8</v>
      </c>
      <c r="FY29" s="133" t="s">
        <v>8</v>
      </c>
      <c r="FZ29" s="35">
        <f t="shared" si="112"/>
        <v>0.7449652982339563</v>
      </c>
      <c r="GA29" s="134">
        <f t="shared" si="113"/>
        <v>-0.32055880273274318</v>
      </c>
      <c r="GB29" s="34">
        <f t="shared" si="114"/>
        <v>0</v>
      </c>
      <c r="GC29" s="135">
        <f t="shared" si="115"/>
        <v>0</v>
      </c>
      <c r="GD29" s="125" t="s">
        <v>8</v>
      </c>
      <c r="GE29" s="133" t="s">
        <v>8</v>
      </c>
      <c r="GF29" s="35">
        <f t="shared" si="116"/>
        <v>0.7449652982339563</v>
      </c>
      <c r="GG29" s="134">
        <f t="shared" si="117"/>
        <v>-0.32055880273274318</v>
      </c>
      <c r="GH29" s="34">
        <f t="shared" si="118"/>
        <v>0</v>
      </c>
      <c r="GI29" s="137">
        <f t="shared" si="119"/>
        <v>0</v>
      </c>
      <c r="GJ29" s="152">
        <f t="shared" si="133"/>
        <v>0</v>
      </c>
      <c r="GK29" s="87">
        <f t="shared" si="120"/>
        <v>21343404.723244142</v>
      </c>
      <c r="GL29" s="194">
        <f t="shared" si="121"/>
        <v>0.7449652982339563</v>
      </c>
      <c r="GM29" s="197"/>
      <c r="GN29" s="201">
        <v>21343404.719999999</v>
      </c>
      <c r="GO29" s="197"/>
      <c r="GP29" s="201">
        <v>20524949.440000001</v>
      </c>
      <c r="GQ29" s="197">
        <f t="shared" si="122"/>
        <v>818455.28324414045</v>
      </c>
      <c r="GR29" s="224">
        <f t="shared" si="123"/>
        <v>3.9876116900395147</v>
      </c>
    </row>
    <row r="30" spans="1:200" s="29" customFormat="1" ht="16.5" thickBot="1" x14ac:dyDescent="0.3">
      <c r="A30" s="91" t="s">
        <v>6</v>
      </c>
      <c r="B30" s="111">
        <v>89328111</v>
      </c>
      <c r="C30" s="109">
        <v>35</v>
      </c>
      <c r="D30" s="80">
        <f>B30*C30/100</f>
        <v>31264838.850000001</v>
      </c>
      <c r="E30" s="98">
        <f>100-C30</f>
        <v>65</v>
      </c>
      <c r="F30" s="80">
        <f>B30-D30</f>
        <v>58063272.149999999</v>
      </c>
      <c r="G30" s="97">
        <f>SUM(G9:G29)</f>
        <v>39838</v>
      </c>
      <c r="H30" s="97">
        <f>SUM(H9:H29)</f>
        <v>60443686</v>
      </c>
      <c r="I30" s="44" t="s">
        <v>8</v>
      </c>
      <c r="J30" s="159">
        <f>H30/G30</f>
        <v>1517.2369596867313</v>
      </c>
      <c r="K30" s="108" t="s">
        <v>8</v>
      </c>
      <c r="L30" s="77">
        <f>SUM(L9:L29)</f>
        <v>31264838.850000001</v>
      </c>
      <c r="M30" s="73" t="s">
        <v>8</v>
      </c>
      <c r="N30" s="45">
        <f>(SUMIF(M9:M29,"&lt;1")+1)/(COUNTIFS(M9:M29,"&lt;1")+1)</f>
        <v>0.17176693113257649</v>
      </c>
      <c r="O30" s="46" t="s">
        <v>8</v>
      </c>
      <c r="P30" s="43">
        <f>SUM(P9:P29)</f>
        <v>22261270.518462211</v>
      </c>
      <c r="Q30" s="43">
        <f>SUM(Q9:Q29)</f>
        <v>22261270.518462211</v>
      </c>
      <c r="R30" s="82">
        <f>F30-Q30</f>
        <v>35802001.631537788</v>
      </c>
      <c r="S30" s="45">
        <f>(SUMIF(T9:T29,"&lt;1")+1)/(COUNTIFS(T9:T29,"&lt;1")+1)</f>
        <v>0.275610708674069</v>
      </c>
      <c r="T30" s="46" t="s">
        <v>8</v>
      </c>
      <c r="U30" s="46" t="s">
        <v>8</v>
      </c>
      <c r="V30" s="43">
        <f>SUM(V9:V29)</f>
        <v>25684528.321939945</v>
      </c>
      <c r="W30" s="43">
        <f>SUM(W9:W29)</f>
        <v>25684528.321939945</v>
      </c>
      <c r="X30" s="82">
        <f>R30-W30</f>
        <v>10117473.309597842</v>
      </c>
      <c r="Y30" s="45">
        <f>(SUMIF(Z9:Z29,"&lt;1")+1)/(COUNTIFS(Z9:Z29,"&lt;1")+1)</f>
        <v>0.37792288087207365</v>
      </c>
      <c r="Z30" s="46" t="s">
        <v>8</v>
      </c>
      <c r="AA30" s="46" t="s">
        <v>8</v>
      </c>
      <c r="AB30" s="43">
        <f>SUM(AB9:AB29)</f>
        <v>22610060.247814182</v>
      </c>
      <c r="AC30" s="43">
        <f>SUM(AC9:AC29)</f>
        <v>10117473.309597844</v>
      </c>
      <c r="AD30" s="82">
        <f>X30-AC30</f>
        <v>0</v>
      </c>
      <c r="AE30" s="45">
        <f>(SUMIF(AF9:AF29,"&lt;1")+1)/(COUNTIFS(AF9:AF29,"&lt;1")+1)</f>
        <v>0.42440649550121312</v>
      </c>
      <c r="AF30" s="46" t="s">
        <v>8</v>
      </c>
      <c r="AG30" s="46" t="s">
        <v>8</v>
      </c>
      <c r="AH30" s="43">
        <f>SUM(AH9:AH29)</f>
        <v>23774906.039524332</v>
      </c>
      <c r="AI30" s="43">
        <f>SUM(AI9:AI29)</f>
        <v>0</v>
      </c>
      <c r="AJ30" s="82">
        <f>AD30-AI30</f>
        <v>0</v>
      </c>
      <c r="AK30" s="45">
        <f>(SUMIF(AL9:AL29,"&lt;1")+1)/(COUNTIFS(AL9:AL29,"&lt;1")+1)</f>
        <v>0.42440649550121312</v>
      </c>
      <c r="AL30" s="46" t="s">
        <v>8</v>
      </c>
      <c r="AM30" s="46" t="s">
        <v>8</v>
      </c>
      <c r="AN30" s="43">
        <f>SUM(AN9:AN29)</f>
        <v>23774906.039524332</v>
      </c>
      <c r="AO30" s="43">
        <f>SUM(AO9:AO29)</f>
        <v>0</v>
      </c>
      <c r="AP30" s="82">
        <f>AJ30-AO30</f>
        <v>0</v>
      </c>
      <c r="AQ30" s="45">
        <f>(SUMIF(AR9:AR29,"&lt;1")+1)/(COUNTIFS(AR9:AR29,"&lt;1")+1)</f>
        <v>0.42440649550121312</v>
      </c>
      <c r="AR30" s="46" t="s">
        <v>8</v>
      </c>
      <c r="AS30" s="46" t="s">
        <v>8</v>
      </c>
      <c r="AT30" s="43">
        <f>SUM(AT9:AT29)</f>
        <v>23774906.039524332</v>
      </c>
      <c r="AU30" s="80">
        <f>SUM(AU9:AU29)</f>
        <v>0</v>
      </c>
      <c r="AV30" s="82">
        <f>AP30-AU30</f>
        <v>0</v>
      </c>
      <c r="AW30" s="45">
        <f>(SUMIF(AX9:AX29,"&lt;1")+1)/(COUNTIFS(AX9:AX29,"&lt;1")+1)</f>
        <v>0.42440649550121312</v>
      </c>
      <c r="AX30" s="46" t="s">
        <v>8</v>
      </c>
      <c r="AY30" s="46" t="s">
        <v>8</v>
      </c>
      <c r="AZ30" s="43">
        <f>SUM(AZ9:AZ29)</f>
        <v>23774906.039524332</v>
      </c>
      <c r="BA30" s="43">
        <f>SUM(BA9:BA29)</f>
        <v>0</v>
      </c>
      <c r="BB30" s="82">
        <f>AV30-BA30</f>
        <v>0</v>
      </c>
      <c r="BC30" s="45">
        <f>(SUMIF(BD9:BD29,"&lt;1")+1)/(COUNTIFS(BD9:BD29,"&lt;1")+1)</f>
        <v>0.42440649550121312</v>
      </c>
      <c r="BD30" s="46" t="s">
        <v>8</v>
      </c>
      <c r="BE30" s="46" t="s">
        <v>8</v>
      </c>
      <c r="BF30" s="43">
        <f>SUM(BF9:BF29)</f>
        <v>23774906.039524332</v>
      </c>
      <c r="BG30" s="43">
        <f>SUM(BG9:BG29)</f>
        <v>0</v>
      </c>
      <c r="BH30" s="82">
        <f>BB30-BG30</f>
        <v>0</v>
      </c>
      <c r="BI30" s="45">
        <f>(SUMIF(BJ9:BJ29,"&lt;1")+1)/(COUNTIFS(BJ9:BJ29,"&lt;1")+1)</f>
        <v>0.42440649550121312</v>
      </c>
      <c r="BJ30" s="46" t="s">
        <v>8</v>
      </c>
      <c r="BK30" s="46" t="s">
        <v>8</v>
      </c>
      <c r="BL30" s="43">
        <f>SUM(BL9:BL29)</f>
        <v>23774906.039524332</v>
      </c>
      <c r="BM30" s="43">
        <f>SUM(BM9:BM29)</f>
        <v>0</v>
      </c>
      <c r="BN30" s="82">
        <f>BH30-BM30</f>
        <v>0</v>
      </c>
      <c r="BO30" s="45">
        <f>(SUMIF(BP9:BP29,"&lt;1")+1)/(COUNTIFS(BP9:BP29,"&lt;1")+1)</f>
        <v>0.42440649550121312</v>
      </c>
      <c r="BP30" s="46" t="s">
        <v>8</v>
      </c>
      <c r="BQ30" s="46" t="s">
        <v>8</v>
      </c>
      <c r="BR30" s="43">
        <f>SUM(BR9:BR29)</f>
        <v>23774906.039524332</v>
      </c>
      <c r="BS30" s="43">
        <f>SUM(BS9:BS29)</f>
        <v>0</v>
      </c>
      <c r="BT30" s="82">
        <f>BN30-BS30</f>
        <v>0</v>
      </c>
      <c r="BU30" s="45">
        <f>(SUMIF(BV9:BV29,"&lt;1")+1)/(COUNTIFS(BV9:BV29,"&lt;1")+1)</f>
        <v>0.42440649550121312</v>
      </c>
      <c r="BV30" s="46" t="s">
        <v>8</v>
      </c>
      <c r="BW30" s="46" t="s">
        <v>8</v>
      </c>
      <c r="BX30" s="43">
        <f>SUM(BX9:BX29)</f>
        <v>23774906.039524332</v>
      </c>
      <c r="BY30" s="43">
        <f>SUM(BY9:BY29)</f>
        <v>0</v>
      </c>
      <c r="BZ30" s="82">
        <f>BT30-BY30</f>
        <v>0</v>
      </c>
      <c r="CA30" s="45">
        <f>(SUMIF(CB9:CB29,"&lt;1")+1)/(COUNTIFS(CB9:CB29,"&lt;1")+1)</f>
        <v>0.42440649550121312</v>
      </c>
      <c r="CB30" s="46" t="s">
        <v>8</v>
      </c>
      <c r="CC30" s="46" t="s">
        <v>8</v>
      </c>
      <c r="CD30" s="43">
        <f>SUM(CD9:CD29)</f>
        <v>23774906.039524332</v>
      </c>
      <c r="CE30" s="43">
        <f>SUM(CE9:CE29)</f>
        <v>0</v>
      </c>
      <c r="CF30" s="82">
        <f>BZ30-CE30</f>
        <v>0</v>
      </c>
      <c r="CG30" s="45">
        <f>(SUMIF(CH9:CH29,"&lt;1")+1)/(COUNTIFS(CH9:CH29,"&lt;1")+1)</f>
        <v>0.42440649550121312</v>
      </c>
      <c r="CH30" s="46" t="s">
        <v>8</v>
      </c>
      <c r="CI30" s="46" t="s">
        <v>8</v>
      </c>
      <c r="CJ30" s="43">
        <f>SUM(CJ9:CJ29)</f>
        <v>23774906.039524332</v>
      </c>
      <c r="CK30" s="43">
        <f>SUM(CK9:CK29)</f>
        <v>0</v>
      </c>
      <c r="CL30" s="82">
        <f>CF30-CK30</f>
        <v>0</v>
      </c>
      <c r="CM30" s="45">
        <f>(SUMIF(CN9:CN29,"&lt;1")+1)/(COUNTIFS(CN9:CN29,"&lt;1")+1)</f>
        <v>0.42440649550121312</v>
      </c>
      <c r="CN30" s="46" t="s">
        <v>8</v>
      </c>
      <c r="CO30" s="46" t="s">
        <v>8</v>
      </c>
      <c r="CP30" s="43">
        <f>SUM(CP9:CP29)</f>
        <v>23774906.039524332</v>
      </c>
      <c r="CQ30" s="43">
        <f>SUM(CQ9:CQ29)</f>
        <v>0</v>
      </c>
      <c r="CR30" s="82">
        <f>CL30-CQ30</f>
        <v>0</v>
      </c>
      <c r="CS30" s="45">
        <f>(SUMIF(CT9:CT29,"&lt;1")+1)/(COUNTIFS(CT9:CT29,"&lt;1")+1)</f>
        <v>0.42440649550121312</v>
      </c>
      <c r="CT30" s="46" t="s">
        <v>8</v>
      </c>
      <c r="CU30" s="46" t="s">
        <v>8</v>
      </c>
      <c r="CV30" s="43">
        <f>SUM(CV9:CV29)</f>
        <v>23774906.039524332</v>
      </c>
      <c r="CW30" s="43">
        <f>SUM(CW9:CW29)</f>
        <v>0</v>
      </c>
      <c r="CX30" s="82">
        <f>CR30-CW30</f>
        <v>0</v>
      </c>
      <c r="CY30" s="45">
        <f>(SUMIF(CZ9:CZ29,"&lt;1")+1)/(COUNTIFS(CZ9:CZ29,"&lt;1")+1)</f>
        <v>0.42440649550121312</v>
      </c>
      <c r="CZ30" s="46" t="s">
        <v>8</v>
      </c>
      <c r="DA30" s="46" t="s">
        <v>8</v>
      </c>
      <c r="DB30" s="43">
        <f>SUM(DB9:DB29)</f>
        <v>23774906.039524332</v>
      </c>
      <c r="DC30" s="43">
        <f>SUM(DC9:DC29)</f>
        <v>0</v>
      </c>
      <c r="DD30" s="82">
        <f>CX30-DC30</f>
        <v>0</v>
      </c>
      <c r="DE30" s="45">
        <f>(SUMIF(DF9:DF29,"&lt;1")+1)/(COUNTIFS(DF9:DF29,"&lt;1")+1)</f>
        <v>0.42440649550121312</v>
      </c>
      <c r="DF30" s="46" t="s">
        <v>8</v>
      </c>
      <c r="DG30" s="46" t="s">
        <v>8</v>
      </c>
      <c r="DH30" s="43">
        <f>SUM(DH9:DH29)</f>
        <v>23774906.039524332</v>
      </c>
      <c r="DI30" s="43">
        <f>SUM(DI9:DI29)</f>
        <v>0</v>
      </c>
      <c r="DJ30" s="82">
        <f>DD30-DI30</f>
        <v>0</v>
      </c>
      <c r="DK30" s="45">
        <f>(SUMIF(DL9:DL29,"&lt;1")+1)/(COUNTIFS(DL9:DL29,"&lt;1")+1)</f>
        <v>0.42440649550121312</v>
      </c>
      <c r="DL30" s="46" t="s">
        <v>8</v>
      </c>
      <c r="DM30" s="46" t="s">
        <v>8</v>
      </c>
      <c r="DN30" s="43">
        <f>SUM(DN9:DN29)</f>
        <v>23774906.039524332</v>
      </c>
      <c r="DO30" s="43">
        <f>SUM(DO9:DO29)</f>
        <v>0</v>
      </c>
      <c r="DP30" s="82">
        <f>DJ30-DO30</f>
        <v>0</v>
      </c>
      <c r="DQ30" s="45">
        <f>(SUMIF(DR9:DR29,"&lt;1")+1)/(COUNTIFS(DR9:DR29,"&lt;1")+1)</f>
        <v>0.42440649550121312</v>
      </c>
      <c r="DR30" s="46" t="s">
        <v>8</v>
      </c>
      <c r="DS30" s="46" t="s">
        <v>8</v>
      </c>
      <c r="DT30" s="43">
        <f>SUM(DT9:DT29)</f>
        <v>23774906.039524332</v>
      </c>
      <c r="DU30" s="43">
        <f>SUM(DU9:DU29)</f>
        <v>0</v>
      </c>
      <c r="DV30" s="82">
        <f>DP30-DU30</f>
        <v>0</v>
      </c>
      <c r="DW30" s="45">
        <f>(SUMIF(DX9:DX29,"&lt;1")+1)/(COUNTIFS(DX9:DX29,"&lt;1")+1)</f>
        <v>0.42440649550121312</v>
      </c>
      <c r="DX30" s="46" t="s">
        <v>8</v>
      </c>
      <c r="DY30" s="46" t="s">
        <v>8</v>
      </c>
      <c r="DZ30" s="138">
        <f>SUM(DZ9:DZ29)</f>
        <v>23774906.039524332</v>
      </c>
      <c r="EA30" s="43">
        <f>SUM(EA9:EA29)</f>
        <v>0</v>
      </c>
      <c r="EB30" s="82">
        <f>DV30-EA30</f>
        <v>0</v>
      </c>
      <c r="EC30" s="45">
        <f>(SUMIF(ED9:ED29,"&lt;1")+1)/(COUNTIFS(ED9:ED29,"&lt;1")+1)</f>
        <v>0.42440649550121312</v>
      </c>
      <c r="ED30" s="46" t="s">
        <v>8</v>
      </c>
      <c r="EE30" s="46" t="s">
        <v>8</v>
      </c>
      <c r="EF30" s="138">
        <f>SUM(EF9:EF29)</f>
        <v>23774906.039524332</v>
      </c>
      <c r="EG30" s="43">
        <f>SUM(EG9:EG29)</f>
        <v>0</v>
      </c>
      <c r="EH30" s="82">
        <f>EB30-EG30</f>
        <v>0</v>
      </c>
      <c r="EI30" s="45">
        <f>(SUMIF(EJ9:EJ29,"&lt;1")+1)/(COUNTIFS(EJ9:EJ29,"&lt;1")+1)</f>
        <v>0.42440649550121312</v>
      </c>
      <c r="EJ30" s="46" t="s">
        <v>8</v>
      </c>
      <c r="EK30" s="46" t="s">
        <v>8</v>
      </c>
      <c r="EL30" s="138">
        <f>SUM(EL9:EL29)</f>
        <v>23774906.039524332</v>
      </c>
      <c r="EM30" s="43">
        <f>SUM(EM9:EM29)</f>
        <v>0</v>
      </c>
      <c r="EN30" s="82">
        <f>EH30-EM30</f>
        <v>0</v>
      </c>
      <c r="EO30" s="45">
        <f>(SUMIF(EP9:EP29,"&lt;1")+1)/(COUNTIFS(EP9:EP29,"&lt;1")+1)</f>
        <v>0.42440649550121312</v>
      </c>
      <c r="EP30" s="46" t="s">
        <v>8</v>
      </c>
      <c r="EQ30" s="46" t="s">
        <v>8</v>
      </c>
      <c r="ER30" s="138">
        <f>SUM(ER9:ER29)</f>
        <v>23774906.039524332</v>
      </c>
      <c r="ES30" s="43">
        <f>SUM(ES9:ES29)</f>
        <v>0</v>
      </c>
      <c r="ET30" s="82">
        <f>EN30-ES30</f>
        <v>0</v>
      </c>
      <c r="EU30" s="45">
        <f>(SUMIF(EV9:EV29,"&lt;1")+1)/(COUNTIFS(EV9:EV29,"&lt;1")+1)</f>
        <v>0.42440649550121312</v>
      </c>
      <c r="EV30" s="46" t="s">
        <v>8</v>
      </c>
      <c r="EW30" s="46" t="s">
        <v>8</v>
      </c>
      <c r="EX30" s="138">
        <f>SUM(EX9:EX29)</f>
        <v>23774906.039524332</v>
      </c>
      <c r="EY30" s="43">
        <f>SUM(EY9:EY29)</f>
        <v>0</v>
      </c>
      <c r="EZ30" s="82">
        <f>ET30-EY30</f>
        <v>0</v>
      </c>
      <c r="FA30" s="45">
        <f>(SUMIF(FB9:FB29,"&lt;1")+1)/(COUNTIFS(FB9:FB29,"&lt;1")+1)</f>
        <v>0.42440649550121312</v>
      </c>
      <c r="FB30" s="46" t="s">
        <v>8</v>
      </c>
      <c r="FC30" s="46" t="s">
        <v>8</v>
      </c>
      <c r="FD30" s="138">
        <f>SUM(FD9:FD29)</f>
        <v>23774906.039524332</v>
      </c>
      <c r="FE30" s="43">
        <f>SUM(FE9:FE29)</f>
        <v>0</v>
      </c>
      <c r="FF30" s="82">
        <f>EZ30-FE30</f>
        <v>0</v>
      </c>
      <c r="FG30" s="45">
        <f>(SUMIF(FH9:FH29,"&lt;1")+1)/(COUNTIFS(FH9:FH29,"&lt;1")+1)</f>
        <v>0.42440649550121312</v>
      </c>
      <c r="FH30" s="46" t="s">
        <v>8</v>
      </c>
      <c r="FI30" s="46" t="s">
        <v>8</v>
      </c>
      <c r="FJ30" s="138">
        <f>SUM(FJ9:FJ29)</f>
        <v>23774906.039524332</v>
      </c>
      <c r="FK30" s="43">
        <f>SUM(FK9:FK29)</f>
        <v>0</v>
      </c>
      <c r="FL30" s="82">
        <f>FF30-FK30</f>
        <v>0</v>
      </c>
      <c r="FM30" s="45">
        <f>(SUMIF(FN9:FN29,"&lt;1")+1)/(COUNTIFS(FN9:FN29,"&lt;1")+1)</f>
        <v>0.42440649550121312</v>
      </c>
      <c r="FN30" s="46" t="s">
        <v>8</v>
      </c>
      <c r="FO30" s="46" t="s">
        <v>8</v>
      </c>
      <c r="FP30" s="138">
        <f>SUM(FP9:FP29)</f>
        <v>23774906.039524332</v>
      </c>
      <c r="FQ30" s="43">
        <f>SUM(FQ9:FQ29)</f>
        <v>0</v>
      </c>
      <c r="FR30" s="82">
        <f>FL30-FQ30</f>
        <v>0</v>
      </c>
      <c r="FS30" s="45">
        <f>(SUMIF(FT9:FT29,"&lt;1")+1)/(COUNTIFS(FT9:FT29,"&lt;1")+1)</f>
        <v>0.42440649550121312</v>
      </c>
      <c r="FT30" s="46" t="s">
        <v>8</v>
      </c>
      <c r="FU30" s="46" t="s">
        <v>8</v>
      </c>
      <c r="FV30" s="138">
        <f>SUM(FV9:FV29)</f>
        <v>23774906.039524332</v>
      </c>
      <c r="FW30" s="43">
        <f>SUM(FW9:FW29)</f>
        <v>0</v>
      </c>
      <c r="FX30" s="82">
        <f>FR30-FW30</f>
        <v>0</v>
      </c>
      <c r="FY30" s="45">
        <f>(SUMIF(FZ9:FZ29,"&lt;1")+1)/(COUNTIFS(FZ9:FZ29,"&lt;1")+1)</f>
        <v>0.42440649550121312</v>
      </c>
      <c r="FZ30" s="46" t="s">
        <v>8</v>
      </c>
      <c r="GA30" s="46" t="s">
        <v>8</v>
      </c>
      <c r="GB30" s="138">
        <f>SUM(GB9:GB29)</f>
        <v>23774906.039524332</v>
      </c>
      <c r="GC30" s="43">
        <f>SUM(GC9:GC29)</f>
        <v>0</v>
      </c>
      <c r="GD30" s="82">
        <f>FX30-GC30</f>
        <v>0</v>
      </c>
      <c r="GE30" s="45">
        <f>(SUMIF(GF9:GF29,"&lt;1")+1)/(COUNTIFS(GF9:GF29,"&lt;1")+1)</f>
        <v>0.42440649550121312</v>
      </c>
      <c r="GF30" s="46" t="s">
        <v>8</v>
      </c>
      <c r="GG30" s="46" t="s">
        <v>8</v>
      </c>
      <c r="GH30" s="138">
        <f>SUM(GH9:GH29)</f>
        <v>23774906.039524332</v>
      </c>
      <c r="GI30" s="43">
        <f>SUM(GI9:GI29)</f>
        <v>0</v>
      </c>
      <c r="GJ30" s="165">
        <f>SUM(GJ9:GJ29)</f>
        <v>58063272.150000006</v>
      </c>
      <c r="GK30" s="167">
        <f t="shared" si="120"/>
        <v>89328111</v>
      </c>
      <c r="GL30" s="195" t="s">
        <v>8</v>
      </c>
      <c r="GN30" s="202">
        <f>SUM(GN9:GN29)</f>
        <v>89328110.99919349</v>
      </c>
      <c r="GP30" s="202">
        <f>SUM(GP9:GP29)</f>
        <v>86725866.999999985</v>
      </c>
      <c r="GQ30" s="197">
        <f t="shared" si="122"/>
        <v>2602244.0000000149</v>
      </c>
      <c r="GR30" s="224">
        <f t="shared" si="123"/>
        <v>3.0005396198576051</v>
      </c>
    </row>
    <row r="32" spans="1:200" x14ac:dyDescent="0.2">
      <c r="P32" s="24"/>
    </row>
    <row r="33" spans="2:198" x14ac:dyDescent="0.2">
      <c r="B33" s="115"/>
    </row>
    <row r="34" spans="2:198" x14ac:dyDescent="0.2">
      <c r="GJ34" s="115"/>
      <c r="GK34" s="115"/>
      <c r="GN34" s="115"/>
      <c r="GP34" s="115"/>
    </row>
    <row r="35" spans="2:198" x14ac:dyDescent="0.2">
      <c r="M35" s="23"/>
      <c r="GL35" s="24"/>
    </row>
    <row r="36" spans="2:198" x14ac:dyDescent="0.2">
      <c r="GL36" s="24"/>
    </row>
  </sheetData>
  <protectedRanges>
    <protectedRange sqref="A9:A29" name="Диапазон3_1_1"/>
    <protectedRange sqref="A9:A29" name="Диапазон2_1_1"/>
  </protectedRanges>
  <mergeCells count="50">
    <mergeCell ref="BT4:BY4"/>
    <mergeCell ref="BZ4:CE4"/>
    <mergeCell ref="CF4:CK4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CL4:CQ4"/>
    <mergeCell ref="DV4:EA4"/>
    <mergeCell ref="EB4:EG4"/>
    <mergeCell ref="EH4:EM4"/>
    <mergeCell ref="EN4:ES4"/>
    <mergeCell ref="CX4:DC4"/>
    <mergeCell ref="DD4:DI4"/>
    <mergeCell ref="DJ4:DO4"/>
    <mergeCell ref="DP4:DU4"/>
    <mergeCell ref="CR4:CW4"/>
    <mergeCell ref="GP3:GP5"/>
    <mergeCell ref="ET4:EY4"/>
    <mergeCell ref="EZ4:FE4"/>
    <mergeCell ref="GJ3:GJ5"/>
    <mergeCell ref="GL3:GL5"/>
    <mergeCell ref="FF4:FK4"/>
    <mergeCell ref="FL4:FQ4"/>
    <mergeCell ref="FR4:FW4"/>
    <mergeCell ref="FX4:GC4"/>
    <mergeCell ref="GD4:GI4"/>
    <mergeCell ref="GN3:GN5"/>
  </mergeCells>
  <printOptions horizontalCentered="1"/>
  <pageMargins left="0.59055118110236227" right="0.15748031496062992" top="0.78740157480314965" bottom="0.15748031496062992" header="0.74803149606299213" footer="0.23622047244094491"/>
  <pageSetup paperSize="9" scale="68" firstPageNumber="0" fitToWidth="18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budget_no</cp:lastModifiedBy>
  <cp:lastPrinted>2024-11-11T10:33:25Z</cp:lastPrinted>
  <dcterms:created xsi:type="dcterms:W3CDTF">2013-11-15T09:40:24Z</dcterms:created>
  <dcterms:modified xsi:type="dcterms:W3CDTF">2024-11-11T10:59:18Z</dcterms:modified>
</cp:coreProperties>
</file>